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fileSharing userName="James Taylor" algorithmName="SHA-512" hashValue="bEgKJMl9Fc7b5mA/p6sXM88uqqm9i55naIoGKS/JVr0Xl2bXU6G0qVYJ4B+meMm9aORX3IZ41cRd2KTTdaiGmg==" saltValue="M93gy20dVizsYprrjAsMHg==" spinCount="100000"/>
  <workbookPr defaultThemeVersion="166925"/>
  <mc:AlternateContent xmlns:mc="http://schemas.openxmlformats.org/markup-compatibility/2006">
    <mc:Choice Requires="x15">
      <x15ac:absPath xmlns:x15ac="http://schemas.microsoft.com/office/spreadsheetml/2010/11/ac" url="https://d.docs.live.net/1b42b0e80b19373a/Desktop/BU Project/"/>
    </mc:Choice>
  </mc:AlternateContent>
  <xr:revisionPtr revIDLastSave="0" documentId="10_ncr:10000_{3EBA8C94-40FD-497E-B281-45E5F36F8979}" xr6:coauthVersionLast="47" xr6:coauthVersionMax="47" xr10:uidLastSave="{00000000-0000-0000-0000-000000000000}"/>
  <bookViews>
    <workbookView xWindow="38595" yWindow="0" windowWidth="13110" windowHeight="20985" tabRatio="759" activeTab="1" xr2:uid="{A29A446A-EE61-4E4F-83C3-A8793E3DF901}"/>
  </bookViews>
  <sheets>
    <sheet name="Cover Page" sheetId="8" r:id="rId1"/>
    <sheet name="Privacy Essentials Introduction" sheetId="1" r:id="rId2"/>
    <sheet name="D - Data Collection" sheetId="2" r:id="rId3"/>
    <sheet name="W - Worfklow" sheetId="3" r:id="rId4"/>
    <sheet name="DAWorkings" sheetId="9" state="hidden" r:id="rId5"/>
    <sheet name="P - Policy &amp; Procedures" sheetId="4" r:id="rId6"/>
    <sheet name="Appropriate Policy Documentt" sheetId="5" r:id="rId7"/>
    <sheet name="Recommendations" sheetId="6" r:id="rId8"/>
    <sheet name="Data Risk Register" sheetId="7" r:id="rId9"/>
    <sheet name="Retention Schedule" sheetId="10" r:id="rId10"/>
    <sheet name="DPIA" sheetId="12" r:id="rId11"/>
    <sheet name="Limitations and Improvements" sheetId="11" r:id="rId12"/>
  </sheets>
  <definedNames>
    <definedName name="Application">DAWorkings!$V$2:$V$6</definedName>
    <definedName name="Country_storage">DAWorkings!$T$2:$T$5</definedName>
    <definedName name="Data_Capture">DAWorkings!$N$2:$N$5</definedName>
    <definedName name="Data_Classification">DAWorkings!$AV$2:$AV$6</definedName>
    <definedName name="Data_Store">DAWorkings!$P$2:$P$5</definedName>
    <definedName name="Policy">OFFSET(DAWorkings!$I$65,0,0,DAWorkings!$K$64,1)</definedName>
    <definedName name="Security">DAWorkings!$X$2:$X$7</definedName>
    <definedName name="YesNo">DAWorkings!$R$2:$R$4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J80" i="9" l="1"/>
  <c r="BJ15" i="9"/>
  <c r="BJ16" i="9"/>
  <c r="BJ40" i="9"/>
  <c r="BJ41" i="9"/>
  <c r="BJ49" i="9"/>
  <c r="BJ50" i="9"/>
  <c r="BJ51" i="9"/>
  <c r="BJ52" i="9"/>
  <c r="BJ53" i="9"/>
  <c r="BJ54" i="9"/>
  <c r="BJ55" i="9"/>
  <c r="BJ56" i="9"/>
  <c r="BJ57" i="9"/>
  <c r="BJ58" i="9"/>
  <c r="BJ65" i="9"/>
  <c r="BJ66" i="9"/>
  <c r="BJ67" i="9"/>
  <c r="BJ68" i="9"/>
  <c r="BJ69" i="9"/>
  <c r="BJ70" i="9"/>
  <c r="BJ71" i="9"/>
  <c r="BJ72" i="9"/>
  <c r="BJ73" i="9"/>
  <c r="BJ74" i="9"/>
  <c r="BJ75" i="9"/>
  <c r="BJ76" i="9"/>
  <c r="BJ77" i="9"/>
  <c r="BJ78" i="9"/>
  <c r="BJ79" i="9"/>
  <c r="BH78" i="9"/>
  <c r="BH79" i="9"/>
  <c r="BH80" i="9"/>
  <c r="BH12" i="9"/>
  <c r="BH14" i="9"/>
  <c r="BH15" i="9"/>
  <c r="BH16" i="9"/>
  <c r="BH17" i="9"/>
  <c r="BH18" i="9"/>
  <c r="BH19" i="9"/>
  <c r="BH20" i="9"/>
  <c r="BH21" i="9"/>
  <c r="BH22" i="9"/>
  <c r="BH23" i="9"/>
  <c r="BH24" i="9"/>
  <c r="BH25" i="9"/>
  <c r="BH26" i="9"/>
  <c r="BH27" i="9"/>
  <c r="BH28" i="9"/>
  <c r="BH29" i="9"/>
  <c r="BH30" i="9"/>
  <c r="BH31" i="9"/>
  <c r="BH32" i="9"/>
  <c r="BH33" i="9"/>
  <c r="BH34" i="9"/>
  <c r="BH35" i="9"/>
  <c r="BH36" i="9"/>
  <c r="BH37" i="9"/>
  <c r="BH38" i="9"/>
  <c r="BH39" i="9"/>
  <c r="BH40" i="9"/>
  <c r="BH41" i="9"/>
  <c r="BH42" i="9"/>
  <c r="BH43" i="9"/>
  <c r="BH44" i="9"/>
  <c r="BH45" i="9"/>
  <c r="BH46" i="9"/>
  <c r="BH47" i="9"/>
  <c r="BH48" i="9"/>
  <c r="BH49" i="9"/>
  <c r="BH50" i="9"/>
  <c r="BH51" i="9"/>
  <c r="BH52" i="9"/>
  <c r="BH53" i="9"/>
  <c r="BH54" i="9"/>
  <c r="BH55" i="9"/>
  <c r="BH56" i="9"/>
  <c r="BH57" i="9"/>
  <c r="BH58" i="9"/>
  <c r="BH59" i="9"/>
  <c r="BH60" i="9"/>
  <c r="BH61" i="9"/>
  <c r="BH62" i="9"/>
  <c r="BH63" i="9"/>
  <c r="BH64" i="9"/>
  <c r="BH65" i="9"/>
  <c r="BH66" i="9"/>
  <c r="BH67" i="9"/>
  <c r="BH68" i="9"/>
  <c r="BH69" i="9"/>
  <c r="BH70" i="9"/>
  <c r="BH71" i="9"/>
  <c r="BH72" i="9"/>
  <c r="BH73" i="9"/>
  <c r="BH74" i="9"/>
  <c r="BH75" i="9"/>
  <c r="BH76" i="9"/>
  <c r="BH77" i="9"/>
  <c r="BH11" i="9"/>
  <c r="AT79" i="9"/>
  <c r="AV79" i="9"/>
  <c r="AV80" i="9" s="1"/>
  <c r="AU80" i="9" s="1"/>
  <c r="AS80" i="9" s="1"/>
  <c r="AC55" i="9"/>
  <c r="AC54" i="9"/>
  <c r="AC52" i="9"/>
  <c r="W52" i="9"/>
  <c r="W51" i="9"/>
  <c r="W50" i="9"/>
  <c r="Q53" i="9"/>
  <c r="K53" i="9"/>
  <c r="K52" i="9"/>
  <c r="K51" i="9"/>
  <c r="Q51" i="9"/>
  <c r="Q52" i="9"/>
  <c r="G78" i="9"/>
  <c r="G77" i="9"/>
  <c r="G76" i="9"/>
  <c r="G75" i="9"/>
  <c r="G74" i="9"/>
  <c r="G73" i="9"/>
  <c r="G72" i="9"/>
  <c r="G71" i="9"/>
  <c r="G70" i="9"/>
  <c r="G69" i="9"/>
  <c r="G68" i="9"/>
  <c r="G67" i="9"/>
  <c r="G66" i="9"/>
  <c r="D119" i="9"/>
  <c r="B114" i="9"/>
  <c r="B115" i="9"/>
  <c r="B116" i="9"/>
  <c r="B117" i="9"/>
  <c r="B118" i="9"/>
  <c r="B113" i="9"/>
  <c r="L97" i="9"/>
  <c r="L96" i="9"/>
  <c r="L95" i="9"/>
  <c r="L94" i="9"/>
  <c r="L92" i="9"/>
  <c r="L91" i="9"/>
  <c r="L90" i="9"/>
  <c r="L89" i="9"/>
  <c r="L88" i="9"/>
  <c r="L87" i="9"/>
  <c r="L86" i="9"/>
  <c r="L93" i="9"/>
  <c r="L85" i="9"/>
  <c r="K88" i="9"/>
  <c r="I88" i="9"/>
  <c r="F114" i="9" s="1"/>
  <c r="F118" i="9" s="1"/>
  <c r="K97" i="9"/>
  <c r="I97" i="9"/>
  <c r="AB52" i="9"/>
  <c r="AB53" i="9"/>
  <c r="AB54" i="9"/>
  <c r="AD54" i="9" s="1"/>
  <c r="BG70" i="9" s="1"/>
  <c r="AB55" i="9"/>
  <c r="AD55" i="9" s="1"/>
  <c r="BI67" i="9" s="1"/>
  <c r="V51" i="9"/>
  <c r="X51" i="9" s="1"/>
  <c r="BG61" i="9" s="1"/>
  <c r="BJ61" i="9" s="1"/>
  <c r="V52" i="9"/>
  <c r="X52" i="9" s="1"/>
  <c r="P51" i="9"/>
  <c r="P52" i="9"/>
  <c r="R52" i="9" s="1"/>
  <c r="BG52" i="9" s="1"/>
  <c r="P53" i="9"/>
  <c r="R53" i="9" s="1"/>
  <c r="P50" i="9"/>
  <c r="J53" i="9"/>
  <c r="L53" i="9" s="1"/>
  <c r="J52" i="9"/>
  <c r="L52" i="9" s="1"/>
  <c r="BG42" i="9" s="1"/>
  <c r="BJ42" i="9" s="1"/>
  <c r="J51" i="9"/>
  <c r="J50" i="9"/>
  <c r="E52" i="9"/>
  <c r="E51" i="9"/>
  <c r="E53" i="9"/>
  <c r="D50" i="9"/>
  <c r="D53" i="9"/>
  <c r="D52" i="9"/>
  <c r="F52" i="9" s="1"/>
  <c r="D51" i="9"/>
  <c r="AI49" i="9"/>
  <c r="AI50" i="9"/>
  <c r="AI51" i="9"/>
  <c r="AI48" i="9"/>
  <c r="AC15" i="9"/>
  <c r="B6" i="2"/>
  <c r="K96" i="9"/>
  <c r="F196" i="9" s="1"/>
  <c r="I96" i="9"/>
  <c r="F195" i="9" s="1"/>
  <c r="F198" i="9" s="1"/>
  <c r="K95" i="9"/>
  <c r="F190" i="9" s="1"/>
  <c r="I95" i="9"/>
  <c r="K85" i="9"/>
  <c r="F108" i="9" s="1"/>
  <c r="I85" i="9"/>
  <c r="K86" i="9"/>
  <c r="F172" i="9" s="1"/>
  <c r="I86" i="9"/>
  <c r="K87" i="9"/>
  <c r="I87" i="9"/>
  <c r="K89" i="9"/>
  <c r="F135" i="9" s="1"/>
  <c r="I89" i="9"/>
  <c r="K90" i="9"/>
  <c r="F166" i="9" s="1"/>
  <c r="I90" i="9"/>
  <c r="K91" i="9"/>
  <c r="I91" i="9"/>
  <c r="K92" i="9"/>
  <c r="I92" i="9"/>
  <c r="K93" i="9"/>
  <c r="I93" i="9"/>
  <c r="K94" i="9"/>
  <c r="F184" i="9" s="1"/>
  <c r="I94" i="9"/>
  <c r="F148" i="9"/>
  <c r="F207" i="9"/>
  <c r="F210" i="9" s="1"/>
  <c r="J108" i="9"/>
  <c r="B195" i="9"/>
  <c r="B196" i="9"/>
  <c r="B197" i="9"/>
  <c r="B198" i="9"/>
  <c r="B199" i="9" s="1"/>
  <c r="B194" i="9"/>
  <c r="D199" i="9"/>
  <c r="B189" i="9"/>
  <c r="B190" i="9"/>
  <c r="B191" i="9"/>
  <c r="B192" i="9"/>
  <c r="B193" i="9" s="1"/>
  <c r="B188" i="9"/>
  <c r="D193" i="9"/>
  <c r="B183" i="9"/>
  <c r="B184" i="9"/>
  <c r="B185" i="9"/>
  <c r="B186" i="9"/>
  <c r="B187" i="9" s="1"/>
  <c r="B182" i="9"/>
  <c r="D187" i="9"/>
  <c r="B177" i="9"/>
  <c r="B178" i="9"/>
  <c r="B179" i="9"/>
  <c r="B180" i="9"/>
  <c r="B181" i="9" s="1"/>
  <c r="B176" i="9"/>
  <c r="D181" i="9"/>
  <c r="V57" i="9"/>
  <c r="D175" i="9"/>
  <c r="B171" i="9"/>
  <c r="B172" i="9"/>
  <c r="B173" i="9"/>
  <c r="B174" i="9"/>
  <c r="B175" i="9" s="1"/>
  <c r="B170" i="9"/>
  <c r="AT16" i="9"/>
  <c r="AT41" i="9"/>
  <c r="AT50" i="9"/>
  <c r="AT58" i="9"/>
  <c r="AT66" i="9"/>
  <c r="AT74" i="9"/>
  <c r="J113" i="9"/>
  <c r="J112" i="9"/>
  <c r="AN52" i="9"/>
  <c r="AN51" i="9"/>
  <c r="AB51" i="9"/>
  <c r="AD52" i="9" s="1"/>
  <c r="V50" i="9"/>
  <c r="V49" i="9"/>
  <c r="V59" i="9"/>
  <c r="V55" i="9"/>
  <c r="V53" i="9"/>
  <c r="BC61" i="9" s="1"/>
  <c r="AH49" i="9"/>
  <c r="AH50" i="9"/>
  <c r="AH51" i="9"/>
  <c r="AH48" i="9"/>
  <c r="B162" i="9"/>
  <c r="B163" i="9"/>
  <c r="B164" i="9"/>
  <c r="B165" i="9"/>
  <c r="B166" i="9"/>
  <c r="B167" i="9"/>
  <c r="B168" i="9"/>
  <c r="B169" i="9" s="1"/>
  <c r="B161" i="9"/>
  <c r="D169" i="9"/>
  <c r="B107" i="9"/>
  <c r="B108" i="9"/>
  <c r="B109" i="9"/>
  <c r="B110" i="9"/>
  <c r="B111" i="9"/>
  <c r="B112" i="9" s="1"/>
  <c r="D112" i="9"/>
  <c r="B106" i="9"/>
  <c r="D160" i="9"/>
  <c r="B153" i="9"/>
  <c r="B154" i="9"/>
  <c r="B155" i="9"/>
  <c r="B156" i="9"/>
  <c r="B157" i="9"/>
  <c r="B158" i="9"/>
  <c r="B159" i="9"/>
  <c r="B160" i="9" s="1"/>
  <c r="B152" i="9"/>
  <c r="B150" i="9"/>
  <c r="B151" i="9" s="1"/>
  <c r="D151" i="9"/>
  <c r="B149" i="9"/>
  <c r="B148" i="9"/>
  <c r="B147" i="9"/>
  <c r="B146" i="9"/>
  <c r="B145" i="9"/>
  <c r="B144" i="9"/>
  <c r="B143" i="9"/>
  <c r="B142" i="9"/>
  <c r="B141" i="9"/>
  <c r="B139" i="9"/>
  <c r="B140" i="9" s="1"/>
  <c r="B138" i="9"/>
  <c r="B128" i="9"/>
  <c r="B129" i="9" s="1"/>
  <c r="D140" i="9"/>
  <c r="B137" i="9"/>
  <c r="B136" i="9"/>
  <c r="B135" i="9"/>
  <c r="B134" i="9"/>
  <c r="B133" i="9"/>
  <c r="B132" i="9"/>
  <c r="B131" i="9"/>
  <c r="B130" i="9"/>
  <c r="D129" i="9"/>
  <c r="B126" i="9"/>
  <c r="B125" i="9"/>
  <c r="B124" i="9"/>
  <c r="B123" i="9"/>
  <c r="B127" i="9"/>
  <c r="B122" i="9"/>
  <c r="B121" i="9"/>
  <c r="B120" i="9"/>
  <c r="F73" i="9"/>
  <c r="F74" i="9"/>
  <c r="F84" i="9"/>
  <c r="E84" i="9"/>
  <c r="E83" i="9"/>
  <c r="F67" i="9"/>
  <c r="F68" i="9"/>
  <c r="F69" i="9"/>
  <c r="F70" i="9"/>
  <c r="F71" i="9"/>
  <c r="F72" i="9"/>
  <c r="F75" i="9"/>
  <c r="F76" i="9"/>
  <c r="F77" i="9"/>
  <c r="F78" i="9"/>
  <c r="F79" i="9"/>
  <c r="B79" i="9" s="1"/>
  <c r="F80" i="9"/>
  <c r="B80" i="9" s="1"/>
  <c r="B48" i="9"/>
  <c r="B47" i="9"/>
  <c r="D48" i="9"/>
  <c r="D47" i="9"/>
  <c r="O66" i="9" s="1"/>
  <c r="V58" i="9"/>
  <c r="O67" i="9"/>
  <c r="Z18" i="9"/>
  <c r="X50" i="9" l="1"/>
  <c r="BG59" i="9" s="1"/>
  <c r="BJ59" i="9" s="1"/>
  <c r="R51" i="9"/>
  <c r="P61" i="9" s="1"/>
  <c r="F51" i="9"/>
  <c r="BG34" i="9" s="1"/>
  <c r="BJ34" i="9" s="1"/>
  <c r="AJ49" i="9"/>
  <c r="H106" i="9"/>
  <c r="I106" i="9" s="1"/>
  <c r="J106" i="9" s="1"/>
  <c r="M106" i="9" s="1"/>
  <c r="M97" i="9"/>
  <c r="BG71" i="9"/>
  <c r="AB61" i="9"/>
  <c r="V61" i="9"/>
  <c r="BG54" i="9"/>
  <c r="BG29" i="9"/>
  <c r="BJ29" i="9" s="1"/>
  <c r="C113" i="9"/>
  <c r="M88" i="9"/>
  <c r="L51" i="9"/>
  <c r="BG45" i="9" s="1"/>
  <c r="BJ45" i="9" s="1"/>
  <c r="BG56" i="9"/>
  <c r="BG55" i="9"/>
  <c r="BG60" i="9"/>
  <c r="BJ60" i="9" s="1"/>
  <c r="BG64" i="9"/>
  <c r="BJ64" i="9" s="1"/>
  <c r="F115" i="9"/>
  <c r="C117" i="9"/>
  <c r="BG51" i="9"/>
  <c r="C118" i="9"/>
  <c r="BI56" i="9"/>
  <c r="BI52" i="9"/>
  <c r="BI53" i="9"/>
  <c r="BI54" i="9"/>
  <c r="BI55" i="9"/>
  <c r="N97" i="9"/>
  <c r="B119" i="9"/>
  <c r="C119" i="9" s="1"/>
  <c r="BG63" i="9"/>
  <c r="BJ63" i="9" s="1"/>
  <c r="BI72" i="9"/>
  <c r="C116" i="9"/>
  <c r="BG62" i="9"/>
  <c r="BJ62" i="9" s="1"/>
  <c r="BI71" i="9"/>
  <c r="C115" i="9"/>
  <c r="C114" i="9"/>
  <c r="BI46" i="9"/>
  <c r="BI47" i="9"/>
  <c r="BI43" i="9"/>
  <c r="BI44" i="9"/>
  <c r="BI45" i="9"/>
  <c r="BI48" i="9"/>
  <c r="BI42" i="9"/>
  <c r="BI61" i="9"/>
  <c r="BI59" i="9"/>
  <c r="BI60" i="9"/>
  <c r="BI62" i="9"/>
  <c r="BI63" i="9"/>
  <c r="BI64" i="9"/>
  <c r="BG72" i="9"/>
  <c r="BI69" i="9"/>
  <c r="BG53" i="9"/>
  <c r="BI68" i="9"/>
  <c r="BG67" i="9"/>
  <c r="F53" i="9"/>
  <c r="BI25" i="9" s="1"/>
  <c r="BI51" i="9"/>
  <c r="BG69" i="9"/>
  <c r="BI70" i="9"/>
  <c r="AJ50" i="9"/>
  <c r="BI14" i="9" s="1"/>
  <c r="BG68" i="9"/>
  <c r="N88" i="9"/>
  <c r="N94" i="9"/>
  <c r="N93" i="9"/>
  <c r="M89" i="9"/>
  <c r="M95" i="9"/>
  <c r="M91" i="9"/>
  <c r="M86" i="9"/>
  <c r="M90" i="9"/>
  <c r="M87" i="9"/>
  <c r="BG22" i="9"/>
  <c r="BJ22" i="9" s="1"/>
  <c r="BG36" i="9"/>
  <c r="BJ36" i="9" s="1"/>
  <c r="BG23" i="9"/>
  <c r="BJ23" i="9" s="1"/>
  <c r="BG37" i="9"/>
  <c r="BJ37" i="9" s="1"/>
  <c r="BG24" i="9"/>
  <c r="BJ24" i="9" s="1"/>
  <c r="BG38" i="9"/>
  <c r="BJ38" i="9" s="1"/>
  <c r="BG17" i="9"/>
  <c r="BJ17" i="9" s="1"/>
  <c r="BG25" i="9"/>
  <c r="BJ25" i="9" s="1"/>
  <c r="BG39" i="9"/>
  <c r="BJ39" i="9" s="1"/>
  <c r="BG18" i="9"/>
  <c r="BJ18" i="9" s="1"/>
  <c r="BG26" i="9"/>
  <c r="BJ26" i="9" s="1"/>
  <c r="BG19" i="9"/>
  <c r="BJ19" i="9" s="1"/>
  <c r="BG27" i="9"/>
  <c r="BJ27" i="9" s="1"/>
  <c r="BG20" i="9"/>
  <c r="BJ20" i="9" s="1"/>
  <c r="BG28" i="9"/>
  <c r="BJ28" i="9" s="1"/>
  <c r="BG21" i="9"/>
  <c r="BJ21" i="9" s="1"/>
  <c r="M96" i="9"/>
  <c r="M94" i="9"/>
  <c r="M93" i="9"/>
  <c r="N92" i="9"/>
  <c r="M92" i="9"/>
  <c r="N85" i="9"/>
  <c r="M85" i="9"/>
  <c r="C110" i="9"/>
  <c r="N91" i="9"/>
  <c r="N86" i="9"/>
  <c r="N87" i="9"/>
  <c r="N90" i="9"/>
  <c r="N89" i="9"/>
  <c r="F153" i="9"/>
  <c r="F171" i="9"/>
  <c r="F178" i="9"/>
  <c r="F142" i="9"/>
  <c r="F189" i="9"/>
  <c r="N96" i="9"/>
  <c r="N95" i="9"/>
  <c r="C108" i="9"/>
  <c r="C107" i="9"/>
  <c r="C112" i="9"/>
  <c r="C111" i="9"/>
  <c r="C109" i="9"/>
  <c r="C144" i="9"/>
  <c r="C148" i="9"/>
  <c r="C140" i="9"/>
  <c r="C175" i="9"/>
  <c r="F156" i="9"/>
  <c r="F177" i="9"/>
  <c r="F183" i="9"/>
  <c r="C183" i="9"/>
  <c r="C196" i="9"/>
  <c r="C194" i="9"/>
  <c r="E102" i="9"/>
  <c r="B66" i="4" s="1"/>
  <c r="BA64" i="9"/>
  <c r="BA61" i="9"/>
  <c r="BC64" i="9"/>
  <c r="F131" i="9"/>
  <c r="F162" i="9"/>
  <c r="F121" i="9"/>
  <c r="F107" i="9"/>
  <c r="F124" i="9"/>
  <c r="C106" i="9"/>
  <c r="O69" i="9"/>
  <c r="F66" i="9"/>
  <c r="B66" i="9" s="1"/>
  <c r="AS73" i="9"/>
  <c r="AT73" i="9" s="1"/>
  <c r="AS15" i="9"/>
  <c r="AT15" i="9" s="1"/>
  <c r="AX35" i="9"/>
  <c r="AW31" i="9"/>
  <c r="AX31" i="9"/>
  <c r="AX32" i="9"/>
  <c r="AX33" i="9"/>
  <c r="AW34" i="9"/>
  <c r="AX34" i="9"/>
  <c r="AX30" i="9"/>
  <c r="AW30" i="9"/>
  <c r="J54" i="9"/>
  <c r="D56" i="9"/>
  <c r="D60" i="9"/>
  <c r="AV6" i="9"/>
  <c r="AV5" i="9"/>
  <c r="AV4" i="9"/>
  <c r="AV3" i="9"/>
  <c r="AV11" i="9"/>
  <c r="AI12" i="9"/>
  <c r="AF12" i="9"/>
  <c r="AL15" i="9"/>
  <c r="AO15" i="9"/>
  <c r="AC18" i="9"/>
  <c r="B25" i="9"/>
  <c r="H19" i="9"/>
  <c r="N18" i="9"/>
  <c r="T19" i="9"/>
  <c r="W19" i="9"/>
  <c r="Q18" i="9"/>
  <c r="K19" i="9"/>
  <c r="E25" i="9"/>
  <c r="C198" i="9" l="1"/>
  <c r="C139" i="9"/>
  <c r="C133" i="9"/>
  <c r="C127" i="9"/>
  <c r="C149" i="9"/>
  <c r="C178" i="9"/>
  <c r="C143" i="9"/>
  <c r="C126" i="9"/>
  <c r="C172" i="9"/>
  <c r="C125" i="9"/>
  <c r="C185" i="9"/>
  <c r="C162" i="9"/>
  <c r="C190" i="9"/>
  <c r="C170" i="9"/>
  <c r="C176" i="9"/>
  <c r="C128" i="9"/>
  <c r="C174" i="9"/>
  <c r="C164" i="9"/>
  <c r="C152" i="9"/>
  <c r="C151" i="9"/>
  <c r="C123" i="9"/>
  <c r="C186" i="9"/>
  <c r="C199" i="9"/>
  <c r="C191" i="9"/>
  <c r="C131" i="9"/>
  <c r="C159" i="9"/>
  <c r="C156" i="9"/>
  <c r="C141" i="9"/>
  <c r="C145" i="9"/>
  <c r="C179" i="9"/>
  <c r="C187" i="9"/>
  <c r="C181" i="9"/>
  <c r="C184" i="9"/>
  <c r="C130" i="9"/>
  <c r="C147" i="9"/>
  <c r="C168" i="9"/>
  <c r="C167" i="9"/>
  <c r="C157" i="9"/>
  <c r="C134" i="9"/>
  <c r="C129" i="9"/>
  <c r="C121" i="9"/>
  <c r="C195" i="9"/>
  <c r="C189" i="9"/>
  <c r="C192" i="9"/>
  <c r="C138" i="9"/>
  <c r="C155" i="9"/>
  <c r="C153" i="9"/>
  <c r="C136" i="9"/>
  <c r="C165" i="9"/>
  <c r="C142" i="9"/>
  <c r="C169" i="9"/>
  <c r="C180" i="9"/>
  <c r="C197" i="9"/>
  <c r="C193" i="9"/>
  <c r="C146" i="9"/>
  <c r="C163" i="9"/>
  <c r="C124" i="9"/>
  <c r="C160" i="9"/>
  <c r="C173" i="9"/>
  <c r="C158" i="9"/>
  <c r="C188" i="9"/>
  <c r="C182" i="9"/>
  <c r="C177" i="9"/>
  <c r="C154" i="9"/>
  <c r="C171" i="9"/>
  <c r="C132" i="9"/>
  <c r="C137" i="9"/>
  <c r="C135" i="9"/>
  <c r="C166" i="9"/>
  <c r="C120" i="9"/>
  <c r="BG31" i="9"/>
  <c r="BJ31" i="9" s="1"/>
  <c r="AH61" i="9"/>
  <c r="BG12" i="9"/>
  <c r="BJ12" i="9" s="1"/>
  <c r="BG13" i="9"/>
  <c r="BJ13" i="9" s="1"/>
  <c r="BG14" i="9"/>
  <c r="BJ14" i="9" s="1"/>
  <c r="BG11" i="9"/>
  <c r="BJ11" i="9" s="1"/>
  <c r="O10" i="7" s="1"/>
  <c r="D61" i="9"/>
  <c r="BG30" i="9"/>
  <c r="BJ30" i="9" s="1"/>
  <c r="BG47" i="9"/>
  <c r="BJ47" i="9" s="1"/>
  <c r="BG48" i="9"/>
  <c r="BJ48" i="9" s="1"/>
  <c r="BG35" i="9"/>
  <c r="BJ35" i="9" s="1"/>
  <c r="BG32" i="9"/>
  <c r="BJ32" i="9" s="1"/>
  <c r="C150" i="9"/>
  <c r="C161" i="9"/>
  <c r="C122" i="9"/>
  <c r="F111" i="9"/>
  <c r="F180" i="9"/>
  <c r="F192" i="9"/>
  <c r="F168" i="9"/>
  <c r="F139" i="9"/>
  <c r="F150" i="9"/>
  <c r="F174" i="9"/>
  <c r="F186" i="9"/>
  <c r="F128" i="9"/>
  <c r="F159" i="9"/>
  <c r="BG43" i="9"/>
  <c r="BJ43" i="9" s="1"/>
  <c r="K106" i="9"/>
  <c r="L106" i="9" s="1"/>
  <c r="BG44" i="9"/>
  <c r="BJ44" i="9" s="1"/>
  <c r="J61" i="9"/>
  <c r="BG33" i="9"/>
  <c r="BJ33" i="9" s="1"/>
  <c r="BG46" i="9"/>
  <c r="BJ46" i="9" s="1"/>
  <c r="BI38" i="9"/>
  <c r="BI32" i="9"/>
  <c r="BI19" i="9"/>
  <c r="BI22" i="9"/>
  <c r="BI17" i="9"/>
  <c r="BI35" i="9"/>
  <c r="BI30" i="9"/>
  <c r="BI18" i="9"/>
  <c r="BI20" i="9"/>
  <c r="BI39" i="9"/>
  <c r="BI26" i="9"/>
  <c r="BI28" i="9"/>
  <c r="BI23" i="9"/>
  <c r="BI34" i="9"/>
  <c r="B78" i="9"/>
  <c r="BI37" i="9"/>
  <c r="BI31" i="9"/>
  <c r="BI33" i="9"/>
  <c r="BI21" i="9"/>
  <c r="BI36" i="9"/>
  <c r="BI27" i="9"/>
  <c r="BI29" i="9"/>
  <c r="BI24" i="9"/>
  <c r="B74" i="9"/>
  <c r="BI11" i="9"/>
  <c r="BI13" i="9"/>
  <c r="BI12" i="9"/>
  <c r="B75" i="9"/>
  <c r="J99" i="9"/>
  <c r="K50" i="4" s="1"/>
  <c r="J98" i="9"/>
  <c r="K49" i="4" s="1"/>
  <c r="B76" i="9"/>
  <c r="B77" i="9"/>
  <c r="BA26" i="9"/>
  <c r="BA45" i="9"/>
  <c r="B69" i="9"/>
  <c r="B71" i="9"/>
  <c r="B67" i="9"/>
  <c r="B72" i="9"/>
  <c r="B70" i="9"/>
  <c r="B73" i="9"/>
  <c r="B68" i="9"/>
  <c r="F32" i="9"/>
  <c r="F31" i="9"/>
  <c r="L32" i="9"/>
  <c r="L31" i="9"/>
  <c r="R32" i="9"/>
  <c r="R31" i="9"/>
  <c r="AJ32" i="9"/>
  <c r="AJ31" i="9"/>
  <c r="AO31" i="9"/>
  <c r="AP32" i="9"/>
  <c r="AD32" i="9"/>
  <c r="AD31" i="9"/>
  <c r="W31" i="9"/>
  <c r="AL11" i="9"/>
  <c r="AL12" i="9"/>
  <c r="AL13" i="9"/>
  <c r="AL10" i="9"/>
  <c r="AO13" i="9"/>
  <c r="AO9" i="9"/>
  <c r="AL9" i="9"/>
  <c r="Z11" i="9"/>
  <c r="Z12" i="9"/>
  <c r="Z13" i="9"/>
  <c r="Z15" i="9"/>
  <c r="Z16" i="9"/>
  <c r="Z17" i="9"/>
  <c r="Z10" i="9"/>
  <c r="Z9" i="9"/>
  <c r="T11" i="9"/>
  <c r="T12" i="9"/>
  <c r="T13" i="9"/>
  <c r="T15" i="9"/>
  <c r="T16" i="9"/>
  <c r="T17" i="9"/>
  <c r="T18" i="9"/>
  <c r="T10" i="9"/>
  <c r="T9" i="9"/>
  <c r="AF10" i="9"/>
  <c r="AF11" i="9"/>
  <c r="AF9" i="9"/>
  <c r="AU11" i="9" s="1"/>
  <c r="AS11" i="9" s="1"/>
  <c r="AI11" i="9"/>
  <c r="AV14" i="9" s="1"/>
  <c r="AU14" i="9" s="1"/>
  <c r="AS14" i="9" s="1"/>
  <c r="AI10" i="9"/>
  <c r="N11" i="9"/>
  <c r="N12" i="9"/>
  <c r="N13" i="9"/>
  <c r="N15" i="9"/>
  <c r="N16" i="9"/>
  <c r="N17" i="9"/>
  <c r="H11" i="9"/>
  <c r="H12" i="9"/>
  <c r="H13" i="9"/>
  <c r="H15" i="9"/>
  <c r="H16" i="9"/>
  <c r="H17" i="9"/>
  <c r="H18" i="9"/>
  <c r="H10" i="9"/>
  <c r="N10" i="9"/>
  <c r="N9" i="9"/>
  <c r="H9" i="9"/>
  <c r="B9" i="9"/>
  <c r="AC16" i="9"/>
  <c r="AC17" i="9"/>
  <c r="BF73" i="9" s="1"/>
  <c r="AC9" i="9"/>
  <c r="W13" i="9"/>
  <c r="W16" i="9"/>
  <c r="V54" i="9" s="1"/>
  <c r="W17" i="9"/>
  <c r="W18" i="9"/>
  <c r="BF65" i="9" s="1"/>
  <c r="W12" i="9"/>
  <c r="W32" i="9" s="1"/>
  <c r="D36" i="9" s="1"/>
  <c r="W9" i="9"/>
  <c r="Q17" i="9"/>
  <c r="BF57" i="9" s="1"/>
  <c r="Q9" i="9"/>
  <c r="Q34" i="9" s="1"/>
  <c r="K18" i="9"/>
  <c r="K9" i="9"/>
  <c r="K34" i="9" s="1"/>
  <c r="E24" i="9"/>
  <c r="BF40" i="9" s="1"/>
  <c r="E15" i="9"/>
  <c r="E13" i="9"/>
  <c r="E9" i="9"/>
  <c r="D5" i="9"/>
  <c r="D4" i="9"/>
  <c r="K27" i="9"/>
  <c r="AO34" i="9" l="1"/>
  <c r="H107" i="9"/>
  <c r="I107" i="9" s="1"/>
  <c r="J107" i="9" s="1"/>
  <c r="M107" i="9" s="1"/>
  <c r="K33" i="9"/>
  <c r="BF49" i="9"/>
  <c r="E88" i="9"/>
  <c r="E87" i="9"/>
  <c r="E97" i="9"/>
  <c r="AC34" i="9"/>
  <c r="AO33" i="9"/>
  <c r="AP33" i="9" s="1"/>
  <c r="BF78" i="9"/>
  <c r="D44" i="9"/>
  <c r="F30" i="3" s="1"/>
  <c r="V44" i="9"/>
  <c r="F54" i="3" s="1"/>
  <c r="W34" i="9"/>
  <c r="BC63" i="9"/>
  <c r="BA63" i="9"/>
  <c r="AI33" i="9"/>
  <c r="E94" i="9"/>
  <c r="E89" i="9"/>
  <c r="E86" i="9"/>
  <c r="E85" i="9"/>
  <c r="E95" i="9"/>
  <c r="F24" i="9"/>
  <c r="E33" i="9"/>
  <c r="I66" i="9"/>
  <c r="I74" i="9"/>
  <c r="I79" i="9"/>
  <c r="I71" i="9"/>
  <c r="I68" i="9"/>
  <c r="I67" i="9"/>
  <c r="I73" i="9"/>
  <c r="I72" i="9"/>
  <c r="I78" i="9"/>
  <c r="I76" i="9"/>
  <c r="I77" i="9"/>
  <c r="I69" i="9"/>
  <c r="I70" i="9"/>
  <c r="I75" i="9"/>
  <c r="E17" i="12"/>
  <c r="E93" i="9"/>
  <c r="E96" i="9"/>
  <c r="D54" i="9"/>
  <c r="D58" i="9"/>
  <c r="E92" i="9"/>
  <c r="E91" i="9"/>
  <c r="E90" i="9"/>
  <c r="AV12" i="9"/>
  <c r="AU12" i="9" s="1"/>
  <c r="AS12" i="9" s="1"/>
  <c r="AT12" i="9" s="1"/>
  <c r="O68" i="9"/>
  <c r="AJ11" i="9"/>
  <c r="L18" i="9"/>
  <c r="Q33" i="9"/>
  <c r="R17" i="9"/>
  <c r="AC33" i="9"/>
  <c r="AD17" i="9"/>
  <c r="W33" i="9"/>
  <c r="X33" i="9" s="1"/>
  <c r="X18" i="9"/>
  <c r="K64" i="9"/>
  <c r="AT11" i="9"/>
  <c r="D59" i="9"/>
  <c r="BA38" i="9" s="1"/>
  <c r="BC38" i="9" s="1"/>
  <c r="D55" i="9"/>
  <c r="AV66" i="9"/>
  <c r="AV69" i="9" s="1"/>
  <c r="AB44" i="9"/>
  <c r="F63" i="3" s="1"/>
  <c r="AV74" i="9"/>
  <c r="AV76" i="9" s="1"/>
  <c r="AN44" i="9"/>
  <c r="F69" i="3" s="1"/>
  <c r="AV50" i="9"/>
  <c r="AV56" i="9" s="1"/>
  <c r="P44" i="9"/>
  <c r="F47" i="3" s="1"/>
  <c r="AV41" i="9"/>
  <c r="AV49" i="9" s="1"/>
  <c r="J44" i="9"/>
  <c r="F40" i="3" s="1"/>
  <c r="AV16" i="9"/>
  <c r="AV13" i="9"/>
  <c r="AU13" i="9" s="1"/>
  <c r="AS13" i="9" s="1"/>
  <c r="AW13" i="9"/>
  <c r="BH13" i="9" s="1"/>
  <c r="AW73" i="9"/>
  <c r="AW49" i="9"/>
  <c r="AO26" i="9"/>
  <c r="AW78" i="9"/>
  <c r="AW65" i="9"/>
  <c r="AW57" i="9"/>
  <c r="Q26" i="9"/>
  <c r="AW40" i="9"/>
  <c r="AP31" i="9"/>
  <c r="K26" i="9"/>
  <c r="K28" i="9" s="1"/>
  <c r="I51" i="2" s="1"/>
  <c r="AV58" i="9"/>
  <c r="AV64" i="9" s="1"/>
  <c r="AU64" i="9" s="1"/>
  <c r="AS64" i="9" s="1"/>
  <c r="X31" i="9"/>
  <c r="D35" i="9"/>
  <c r="AO27" i="9"/>
  <c r="AP13" i="9"/>
  <c r="D38" i="9"/>
  <c r="B15" i="9"/>
  <c r="B13" i="9"/>
  <c r="B12" i="9"/>
  <c r="B11" i="9"/>
  <c r="B10" i="9"/>
  <c r="X32" i="9"/>
  <c r="G36" i="9" s="1"/>
  <c r="E26" i="9"/>
  <c r="AC26" i="9"/>
  <c r="AC27" i="9"/>
  <c r="E27" i="9"/>
  <c r="Q27" i="9"/>
  <c r="W26" i="9"/>
  <c r="W27" i="9"/>
  <c r="J115" i="9" l="1"/>
  <c r="B201" i="9"/>
  <c r="B202" i="9"/>
  <c r="B203" i="9"/>
  <c r="B204" i="9"/>
  <c r="B205" i="9" s="1"/>
  <c r="B200" i="9"/>
  <c r="K107" i="9"/>
  <c r="L107" i="9" s="1"/>
  <c r="J116" i="9" s="1"/>
  <c r="E34" i="9"/>
  <c r="U35" i="9" s="1"/>
  <c r="AD36" i="9" s="1"/>
  <c r="AT14" i="9"/>
  <c r="BA39" i="9"/>
  <c r="BC39" i="9" s="1"/>
  <c r="BA37" i="9"/>
  <c r="BC37" i="9" s="1"/>
  <c r="BA36" i="9"/>
  <c r="BC36" i="9" s="1"/>
  <c r="E101" i="9"/>
  <c r="B65" i="4" s="1"/>
  <c r="O73" i="9"/>
  <c r="AD33" i="9"/>
  <c r="L33" i="9"/>
  <c r="AJ33" i="9"/>
  <c r="AV36" i="9"/>
  <c r="AU36" i="9" s="1"/>
  <c r="AS36" i="9" s="1"/>
  <c r="AV21" i="9"/>
  <c r="AU21" i="9" s="1"/>
  <c r="AV22" i="9"/>
  <c r="AU22" i="9" s="1"/>
  <c r="R33" i="9"/>
  <c r="AV53" i="9"/>
  <c r="AV51" i="9"/>
  <c r="AU51" i="9" s="1"/>
  <c r="AS51" i="9" s="1"/>
  <c r="AV72" i="9"/>
  <c r="AV71" i="9"/>
  <c r="AV67" i="9"/>
  <c r="AU67" i="9" s="1"/>
  <c r="AS67" i="9" s="1"/>
  <c r="AV73" i="9"/>
  <c r="AV70" i="9"/>
  <c r="AV68" i="9"/>
  <c r="AU68" i="9" s="1"/>
  <c r="AS68" i="9" s="1"/>
  <c r="AV57" i="9"/>
  <c r="AU57" i="9" s="1"/>
  <c r="AS57" i="9" s="1"/>
  <c r="AT57" i="9" s="1"/>
  <c r="AV52" i="9"/>
  <c r="AU52" i="9" s="1"/>
  <c r="AS52" i="9" s="1"/>
  <c r="AV54" i="9"/>
  <c r="AU54" i="9" s="1"/>
  <c r="AS54" i="9" s="1"/>
  <c r="AV42" i="9"/>
  <c r="AV48" i="9"/>
  <c r="AU48" i="9" s="1"/>
  <c r="AS48" i="9" s="1"/>
  <c r="AV43" i="9"/>
  <c r="AU43" i="9" s="1"/>
  <c r="AS43" i="9" s="1"/>
  <c r="AV46" i="9"/>
  <c r="AV47" i="9"/>
  <c r="AU47" i="9" s="1"/>
  <c r="AS47" i="9" s="1"/>
  <c r="AV45" i="9"/>
  <c r="AV44" i="9"/>
  <c r="AV78" i="9"/>
  <c r="AU78" i="9" s="1"/>
  <c r="AS78" i="9" s="1"/>
  <c r="AV77" i="9"/>
  <c r="AU77" i="9" s="1"/>
  <c r="AS77" i="9" s="1"/>
  <c r="AV75" i="9"/>
  <c r="AU75" i="9" s="1"/>
  <c r="AS75" i="9" s="1"/>
  <c r="AV55" i="9"/>
  <c r="AT13" i="9"/>
  <c r="AV25" i="9"/>
  <c r="AV19" i="9"/>
  <c r="AV37" i="9"/>
  <c r="AV29" i="9"/>
  <c r="AV20" i="9"/>
  <c r="AV24" i="9"/>
  <c r="AV17" i="9"/>
  <c r="AV38" i="9"/>
  <c r="AU38" i="9" s="1"/>
  <c r="AS38" i="9" s="1"/>
  <c r="AV40" i="9"/>
  <c r="AU40" i="9" s="1"/>
  <c r="AS40" i="9" s="1"/>
  <c r="AV18" i="9"/>
  <c r="AV23" i="9"/>
  <c r="AV26" i="9"/>
  <c r="AV39" i="9"/>
  <c r="AV27" i="9"/>
  <c r="AV28" i="9"/>
  <c r="AO28" i="9"/>
  <c r="I97" i="2" s="1"/>
  <c r="Q28" i="9"/>
  <c r="I63" i="2" s="1"/>
  <c r="AV65" i="9"/>
  <c r="AU65" i="9" s="1"/>
  <c r="AS65" i="9" s="1"/>
  <c r="AU49" i="9"/>
  <c r="AS49" i="9" s="1"/>
  <c r="AT49" i="9" s="1"/>
  <c r="U38" i="9"/>
  <c r="V38" i="9" s="1"/>
  <c r="W38" i="9" s="1"/>
  <c r="Z38" i="9" s="1"/>
  <c r="AU76" i="9"/>
  <c r="AS76" i="9" s="1"/>
  <c r="AT76" i="9" s="1"/>
  <c r="AU69" i="9"/>
  <c r="AS69" i="9" s="1"/>
  <c r="AU56" i="9"/>
  <c r="AS56" i="9" s="1"/>
  <c r="AV63" i="9"/>
  <c r="AV62" i="9"/>
  <c r="AV61" i="9"/>
  <c r="AV60" i="9"/>
  <c r="AV59" i="9"/>
  <c r="AC28" i="9"/>
  <c r="I88" i="2" s="1"/>
  <c r="E28" i="9"/>
  <c r="I38" i="2" s="1"/>
  <c r="B17" i="9"/>
  <c r="B16" i="9"/>
  <c r="W28" i="9"/>
  <c r="I76" i="2" s="1"/>
  <c r="O71" i="9" l="1"/>
  <c r="B52" i="4" s="1"/>
  <c r="C202" i="9"/>
  <c r="C201" i="9"/>
  <c r="C205" i="9"/>
  <c r="C203" i="9"/>
  <c r="C200" i="9"/>
  <c r="C204" i="9"/>
  <c r="V35" i="9"/>
  <c r="W35" i="9" s="1"/>
  <c r="X35" i="9" s="1"/>
  <c r="Y35" i="9" s="1"/>
  <c r="AU72" i="9"/>
  <c r="AS72" i="9" s="1"/>
  <c r="AU53" i="9"/>
  <c r="AS53" i="9" s="1"/>
  <c r="AU70" i="9"/>
  <c r="AS70" i="9" s="1"/>
  <c r="AU71" i="9"/>
  <c r="AS71" i="9" s="1"/>
  <c r="AU46" i="9"/>
  <c r="AS46" i="9" s="1"/>
  <c r="AU45" i="9"/>
  <c r="AS45" i="9" s="1"/>
  <c r="AU44" i="9"/>
  <c r="AS44" i="9" s="1"/>
  <c r="AU42" i="9"/>
  <c r="AS42" i="9" s="1"/>
  <c r="AU55" i="9"/>
  <c r="AS55" i="9" s="1"/>
  <c r="X38" i="9"/>
  <c r="Y38" i="9" s="1"/>
  <c r="G38" i="9" s="1"/>
  <c r="AU19" i="9"/>
  <c r="AS19" i="9" s="1"/>
  <c r="AU20" i="9"/>
  <c r="AS20" i="9" s="1"/>
  <c r="AS21" i="9"/>
  <c r="AS22" i="9"/>
  <c r="AU37" i="9"/>
  <c r="AS37" i="9" s="1"/>
  <c r="AU17" i="9"/>
  <c r="AU39" i="9"/>
  <c r="AS39" i="9" s="1"/>
  <c r="AU18" i="9"/>
  <c r="AU23" i="9"/>
  <c r="AU63" i="9"/>
  <c r="AS63" i="9" s="1"/>
  <c r="AU59" i="9"/>
  <c r="AS59" i="9" s="1"/>
  <c r="AU62" i="9"/>
  <c r="AS62" i="9" s="1"/>
  <c r="AU60" i="9"/>
  <c r="AS60" i="9" s="1"/>
  <c r="AU61" i="9"/>
  <c r="AS61" i="9" s="1"/>
  <c r="B18" i="9"/>
  <c r="AU24" i="9" s="1"/>
  <c r="AS24" i="9" s="1"/>
  <c r="B19" i="9"/>
  <c r="AT65" i="9" l="1"/>
  <c r="Z35" i="9"/>
  <c r="G35" i="9" s="1"/>
  <c r="B98" i="2" s="1"/>
  <c r="AU31" i="9"/>
  <c r="AS31" i="9" s="1"/>
  <c r="AS18" i="9"/>
  <c r="AU32" i="9"/>
  <c r="AS32" i="9" s="1"/>
  <c r="AS23" i="9"/>
  <c r="AU30" i="9"/>
  <c r="AS30" i="9" s="1"/>
  <c r="AS17" i="9"/>
  <c r="AT21" i="9" s="1"/>
  <c r="AU25" i="9"/>
  <c r="B20" i="9"/>
  <c r="AU26" i="9" s="1"/>
  <c r="B21" i="9"/>
  <c r="AU27" i="9" s="1"/>
  <c r="B23" i="9"/>
  <c r="AU29" i="9" s="1"/>
  <c r="AS29" i="9" s="1"/>
  <c r="AT23" i="9" l="1"/>
  <c r="AT24" i="9"/>
  <c r="F33" i="9"/>
  <c r="U37" i="9" s="1"/>
  <c r="AT20" i="9"/>
  <c r="AT18" i="9"/>
  <c r="AT17" i="9"/>
  <c r="AT19" i="9"/>
  <c r="AT22" i="9"/>
  <c r="AU33" i="9"/>
  <c r="AS25" i="9"/>
  <c r="AT25" i="9" s="1"/>
  <c r="AU34" i="9"/>
  <c r="AS27" i="9"/>
  <c r="AS26" i="9"/>
  <c r="B24" i="9"/>
  <c r="B22" i="9"/>
  <c r="AU28" i="9" s="1"/>
  <c r="AT26" i="9" l="1"/>
  <c r="AT27" i="9"/>
  <c r="AU35" i="9"/>
  <c r="AS28" i="9"/>
  <c r="AT28" i="9" s="1"/>
  <c r="AS34" i="9"/>
  <c r="AS33" i="9"/>
  <c r="AT33" i="9" s="1"/>
  <c r="D37" i="9"/>
  <c r="V37" i="9"/>
  <c r="AT80" i="9" l="1"/>
  <c r="AT29" i="9"/>
  <c r="B208" i="9"/>
  <c r="J111" i="9"/>
  <c r="J109" i="9"/>
  <c r="B210" i="9"/>
  <c r="B207" i="9"/>
  <c r="B209" i="9"/>
  <c r="B206" i="9"/>
  <c r="AT34" i="9"/>
  <c r="AT32" i="9"/>
  <c r="AT31" i="9"/>
  <c r="AT30" i="9"/>
  <c r="J110" i="9"/>
  <c r="AS35" i="9"/>
  <c r="AT48" i="9" s="1"/>
  <c r="W37" i="9"/>
  <c r="AT40" i="9" l="1"/>
  <c r="AT77" i="9"/>
  <c r="AT72" i="9"/>
  <c r="AT75" i="9"/>
  <c r="AT71" i="9"/>
  <c r="C209" i="9"/>
  <c r="C208" i="9"/>
  <c r="C210" i="9"/>
  <c r="C206" i="9"/>
  <c r="C207" i="9"/>
  <c r="AT44" i="9"/>
  <c r="AT46" i="9"/>
  <c r="AT70" i="9"/>
  <c r="AT78" i="9"/>
  <c r="AT69" i="9"/>
  <c r="AT67" i="9"/>
  <c r="AT52" i="9"/>
  <c r="AT68" i="9"/>
  <c r="AT56" i="9"/>
  <c r="AT53" i="9"/>
  <c r="AT38" i="9"/>
  <c r="AT43" i="9"/>
  <c r="AT45" i="9"/>
  <c r="AT47" i="9"/>
  <c r="AT60" i="9"/>
  <c r="AT42" i="9"/>
  <c r="AT62" i="9"/>
  <c r="AT61" i="9"/>
  <c r="AT51" i="9"/>
  <c r="AT54" i="9"/>
  <c r="AT55" i="9"/>
  <c r="AT63" i="9"/>
  <c r="AT64" i="9"/>
  <c r="AT59" i="9"/>
  <c r="AT35" i="9"/>
  <c r="AT36" i="9"/>
  <c r="AT39" i="9"/>
  <c r="AT37" i="9"/>
  <c r="B6" i="6"/>
  <c r="Z37" i="9"/>
  <c r="X37" i="9"/>
  <c r="Y37" i="9" s="1"/>
  <c r="O13" i="7" l="1"/>
  <c r="O12" i="7"/>
  <c r="O14" i="7"/>
  <c r="O11" i="7"/>
  <c r="O32" i="7"/>
  <c r="O39" i="7"/>
  <c r="O33" i="7"/>
  <c r="O46" i="7"/>
  <c r="O67" i="7"/>
  <c r="O38" i="7"/>
  <c r="O44" i="7"/>
  <c r="O26" i="7"/>
  <c r="O57" i="7"/>
  <c r="O53" i="7"/>
  <c r="O52" i="7"/>
  <c r="O37" i="7"/>
  <c r="O15" i="7"/>
  <c r="O24" i="7"/>
  <c r="O16" i="7"/>
  <c r="O65" i="7"/>
  <c r="O51" i="7"/>
  <c r="O31" i="7"/>
  <c r="O58" i="7"/>
  <c r="O34" i="7"/>
  <c r="O41" i="7"/>
  <c r="O43" i="7"/>
  <c r="O63" i="7"/>
  <c r="O50" i="7"/>
  <c r="O42" i="7"/>
  <c r="O61" i="7"/>
  <c r="O19" i="7"/>
  <c r="O27" i="7"/>
  <c r="O30" i="7"/>
  <c r="O17" i="7"/>
  <c r="O49" i="7"/>
  <c r="O68" i="7"/>
  <c r="O29" i="7"/>
  <c r="O59" i="7"/>
  <c r="O45" i="7"/>
  <c r="O40" i="7"/>
  <c r="O21" i="7"/>
  <c r="O28" i="7"/>
  <c r="O54" i="7"/>
  <c r="O47" i="7"/>
  <c r="O69" i="7"/>
  <c r="O36" i="7"/>
  <c r="O55" i="7"/>
  <c r="O48" i="7"/>
  <c r="O22" i="7"/>
  <c r="O35" i="7"/>
  <c r="O64" i="7"/>
  <c r="O56" i="7"/>
  <c r="O60" i="7"/>
  <c r="O18" i="7"/>
  <c r="O25" i="7"/>
  <c r="O66" i="7"/>
  <c r="O23" i="7"/>
  <c r="O20" i="7"/>
  <c r="O62" i="7"/>
  <c r="P10" i="7"/>
  <c r="B20" i="6"/>
  <c r="B18" i="6"/>
  <c r="K18" i="6"/>
  <c r="K17" i="6"/>
  <c r="B14" i="6"/>
  <c r="K16" i="6"/>
  <c r="B17" i="6"/>
  <c r="K19" i="6"/>
  <c r="B16" i="6"/>
  <c r="B19" i="6"/>
  <c r="B15" i="6"/>
  <c r="K20" i="6"/>
  <c r="K15" i="6"/>
  <c r="B22" i="6"/>
  <c r="K22" i="6"/>
  <c r="K21" i="6"/>
  <c r="B21" i="6"/>
  <c r="K24" i="6"/>
  <c r="K26" i="6"/>
  <c r="K23" i="6"/>
  <c r="K25" i="6"/>
  <c r="B24" i="6"/>
  <c r="B26" i="6"/>
  <c r="B25" i="6"/>
  <c r="B23" i="6"/>
  <c r="K36" i="6"/>
  <c r="K32" i="6"/>
  <c r="B36" i="6"/>
  <c r="K35" i="6"/>
  <c r="K33" i="6"/>
  <c r="K34" i="6"/>
  <c r="B33" i="6"/>
  <c r="K30" i="6"/>
  <c r="B31" i="6"/>
  <c r="K27" i="6"/>
  <c r="B27" i="6"/>
  <c r="K28" i="6"/>
  <c r="B35" i="6"/>
  <c r="B34" i="6"/>
  <c r="B28" i="6"/>
  <c r="B29" i="6"/>
  <c r="B32" i="6"/>
  <c r="K29" i="6"/>
  <c r="B30" i="6"/>
  <c r="K31" i="6"/>
  <c r="B40" i="6"/>
  <c r="K42" i="6"/>
  <c r="B43" i="6"/>
  <c r="K37" i="6"/>
  <c r="K43" i="6"/>
  <c r="B39" i="6"/>
  <c r="K41" i="6"/>
  <c r="B37" i="6"/>
  <c r="K39" i="6"/>
  <c r="K38" i="6"/>
  <c r="K40" i="6"/>
  <c r="B41" i="6"/>
  <c r="B42" i="6"/>
  <c r="B38" i="6"/>
  <c r="K46" i="6"/>
  <c r="K44" i="6"/>
  <c r="B50" i="6"/>
  <c r="B46" i="6"/>
  <c r="K49" i="6"/>
  <c r="B53" i="6"/>
  <c r="B51" i="6"/>
  <c r="B47" i="6"/>
  <c r="K53" i="6"/>
  <c r="K51" i="6"/>
  <c r="K45" i="6"/>
  <c r="B54" i="6"/>
  <c r="B52" i="6"/>
  <c r="B48" i="6"/>
  <c r="K52" i="6"/>
  <c r="K50" i="6"/>
  <c r="K48" i="6"/>
  <c r="K54" i="6"/>
  <c r="B45" i="6"/>
  <c r="B49" i="6"/>
  <c r="B44" i="6"/>
  <c r="K47" i="6"/>
  <c r="B59" i="6"/>
  <c r="K60" i="6"/>
  <c r="K62" i="6"/>
  <c r="B57" i="6"/>
  <c r="B55" i="6"/>
  <c r="K59" i="6"/>
  <c r="B61" i="6"/>
  <c r="K55" i="6"/>
  <c r="B62" i="6"/>
  <c r="K61" i="6"/>
  <c r="B56" i="6"/>
  <c r="B58" i="6"/>
  <c r="B63" i="6"/>
  <c r="K57" i="6"/>
  <c r="B60" i="6"/>
  <c r="K63" i="6"/>
  <c r="K56" i="6"/>
  <c r="K58" i="6"/>
  <c r="B74" i="6"/>
  <c r="B64" i="6"/>
  <c r="K69" i="6"/>
  <c r="K65" i="6"/>
  <c r="B70" i="6"/>
  <c r="B66" i="6"/>
  <c r="B71" i="6"/>
  <c r="K66" i="6"/>
  <c r="B68" i="6"/>
  <c r="B73" i="6"/>
  <c r="K72" i="6"/>
  <c r="K68" i="6"/>
  <c r="B65" i="6"/>
  <c r="B67" i="6"/>
  <c r="K70" i="6"/>
  <c r="K64" i="6"/>
  <c r="B72" i="6"/>
  <c r="K71" i="6"/>
  <c r="K74" i="6"/>
  <c r="B69" i="6"/>
  <c r="K67" i="6"/>
  <c r="K73" i="6"/>
  <c r="K83" i="6"/>
  <c r="B75" i="6"/>
  <c r="B79" i="6"/>
  <c r="B83" i="6"/>
  <c r="K80" i="6"/>
  <c r="B77" i="6"/>
  <c r="K81" i="6"/>
  <c r="B80" i="6"/>
  <c r="B82" i="6"/>
  <c r="B76" i="6"/>
  <c r="K77" i="6"/>
  <c r="K75" i="6"/>
  <c r="K79" i="6"/>
  <c r="B78" i="6"/>
  <c r="B81" i="6"/>
  <c r="K78" i="6"/>
  <c r="K82" i="6"/>
  <c r="K76" i="6"/>
  <c r="B85" i="6"/>
  <c r="K89" i="6"/>
  <c r="B86" i="6"/>
  <c r="K86" i="6"/>
  <c r="B88" i="6"/>
  <c r="B87" i="6"/>
  <c r="K84" i="6"/>
  <c r="B89" i="6"/>
  <c r="K85" i="6"/>
  <c r="K87" i="6"/>
  <c r="B84" i="6"/>
  <c r="K88" i="6"/>
  <c r="K92" i="6"/>
  <c r="B94" i="6"/>
  <c r="B90" i="6"/>
  <c r="B95" i="6"/>
  <c r="K90" i="6"/>
  <c r="B93" i="6"/>
  <c r="K93" i="6"/>
  <c r="B92" i="6"/>
  <c r="B91" i="6"/>
  <c r="K95" i="6"/>
  <c r="K91" i="6"/>
  <c r="K94" i="6"/>
  <c r="B101" i="6"/>
  <c r="K101" i="6"/>
  <c r="B96" i="6"/>
  <c r="B98" i="6"/>
  <c r="B100" i="6"/>
  <c r="B97" i="6"/>
  <c r="K96" i="6"/>
  <c r="B99" i="6"/>
  <c r="K97" i="6"/>
  <c r="K98" i="6"/>
  <c r="K99" i="6"/>
  <c r="K100" i="6"/>
  <c r="K106" i="6"/>
  <c r="B107" i="6"/>
  <c r="K107" i="6"/>
  <c r="K102" i="6"/>
  <c r="K105" i="6"/>
  <c r="K103" i="6"/>
  <c r="B102" i="6"/>
  <c r="K104" i="6"/>
  <c r="B103" i="6"/>
  <c r="B104" i="6"/>
  <c r="B106" i="6"/>
  <c r="B105" i="6"/>
  <c r="M10" i="7"/>
  <c r="M11" i="7"/>
  <c r="P11" i="7"/>
  <c r="B110" i="6"/>
  <c r="K111" i="6"/>
  <c r="B111" i="6"/>
  <c r="B112" i="6"/>
  <c r="K108" i="6"/>
  <c r="K110" i="6"/>
  <c r="B108" i="6"/>
  <c r="B109" i="6"/>
  <c r="K112" i="6"/>
  <c r="K109" i="6"/>
  <c r="M27" i="7"/>
  <c r="L11" i="7"/>
  <c r="M25" i="7"/>
  <c r="M26" i="7"/>
  <c r="M18" i="7"/>
  <c r="M34" i="7"/>
  <c r="M42" i="7"/>
  <c r="M50" i="7"/>
  <c r="M58" i="7"/>
  <c r="M66" i="7"/>
  <c r="P13" i="7"/>
  <c r="P21" i="7"/>
  <c r="P29" i="7"/>
  <c r="P37" i="7"/>
  <c r="P45" i="7"/>
  <c r="P53" i="7"/>
  <c r="P61" i="7"/>
  <c r="P69" i="7"/>
  <c r="P65" i="7"/>
  <c r="P59" i="7"/>
  <c r="M49" i="7"/>
  <c r="P44" i="7"/>
  <c r="M19" i="7"/>
  <c r="M35" i="7"/>
  <c r="M43" i="7"/>
  <c r="M51" i="7"/>
  <c r="M59" i="7"/>
  <c r="M67" i="7"/>
  <c r="P14" i="7"/>
  <c r="P22" i="7"/>
  <c r="P30" i="7"/>
  <c r="P38" i="7"/>
  <c r="P46" i="7"/>
  <c r="P54" i="7"/>
  <c r="P62" i="7"/>
  <c r="P63" i="7"/>
  <c r="P25" i="7"/>
  <c r="P35" i="7"/>
  <c r="M57" i="7"/>
  <c r="P20" i="7"/>
  <c r="M12" i="7"/>
  <c r="M20" i="7"/>
  <c r="M28" i="7"/>
  <c r="M36" i="7"/>
  <c r="M44" i="7"/>
  <c r="M52" i="7"/>
  <c r="M60" i="7"/>
  <c r="M68" i="7"/>
  <c r="P15" i="7"/>
  <c r="P23" i="7"/>
  <c r="P31" i="7"/>
  <c r="P39" i="7"/>
  <c r="P47" i="7"/>
  <c r="P55" i="7"/>
  <c r="P57" i="7"/>
  <c r="P67" i="7"/>
  <c r="M41" i="7"/>
  <c r="P36" i="7"/>
  <c r="M13" i="7"/>
  <c r="M21" i="7"/>
  <c r="M29" i="7"/>
  <c r="M37" i="7"/>
  <c r="M45" i="7"/>
  <c r="M53" i="7"/>
  <c r="M61" i="7"/>
  <c r="M69" i="7"/>
  <c r="P16" i="7"/>
  <c r="P24" i="7"/>
  <c r="P32" i="7"/>
  <c r="P40" i="7"/>
  <c r="P48" i="7"/>
  <c r="P56" i="7"/>
  <c r="P64" i="7"/>
  <c r="M22" i="7"/>
  <c r="M38" i="7"/>
  <c r="M54" i="7"/>
  <c r="P17" i="7"/>
  <c r="P41" i="7"/>
  <c r="M17" i="7"/>
  <c r="P28" i="7"/>
  <c r="P68" i="7"/>
  <c r="M14" i="7"/>
  <c r="M30" i="7"/>
  <c r="M46" i="7"/>
  <c r="M62" i="7"/>
  <c r="P33" i="7"/>
  <c r="P49" i="7"/>
  <c r="P43" i="7"/>
  <c r="M33" i="7"/>
  <c r="P12" i="7"/>
  <c r="P60" i="7"/>
  <c r="M15" i="7"/>
  <c r="M23" i="7"/>
  <c r="M31" i="7"/>
  <c r="M39" i="7"/>
  <c r="M47" i="7"/>
  <c r="M55" i="7"/>
  <c r="M63" i="7"/>
  <c r="P18" i="7"/>
  <c r="P26" i="7"/>
  <c r="P34" i="7"/>
  <c r="P42" i="7"/>
  <c r="P50" i="7"/>
  <c r="P58" i="7"/>
  <c r="P66" i="7"/>
  <c r="M16" i="7"/>
  <c r="M24" i="7"/>
  <c r="M32" i="7"/>
  <c r="M40" i="7"/>
  <c r="M48" i="7"/>
  <c r="M56" i="7"/>
  <c r="M64" i="7"/>
  <c r="P19" i="7"/>
  <c r="P27" i="7"/>
  <c r="P51" i="7"/>
  <c r="M65" i="7"/>
  <c r="P52" i="7"/>
  <c r="K14" i="6"/>
  <c r="L10" i="7"/>
  <c r="L12" i="7"/>
  <c r="L20" i="7"/>
  <c r="L28" i="7"/>
  <c r="L36" i="7"/>
  <c r="L44" i="7"/>
  <c r="L52" i="7"/>
  <c r="L60" i="7"/>
  <c r="L68" i="7"/>
  <c r="L69" i="7"/>
  <c r="L56" i="7"/>
  <c r="L51" i="7"/>
  <c r="L13" i="7"/>
  <c r="L21" i="7"/>
  <c r="L29" i="7"/>
  <c r="L37" i="7"/>
  <c r="L45" i="7"/>
  <c r="L53" i="7"/>
  <c r="L61" i="7"/>
  <c r="L40" i="7"/>
  <c r="L35" i="7"/>
  <c r="L67" i="7"/>
  <c r="L14" i="7"/>
  <c r="L22" i="7"/>
  <c r="L30" i="7"/>
  <c r="L38" i="7"/>
  <c r="L46" i="7"/>
  <c r="L54" i="7"/>
  <c r="L62" i="7"/>
  <c r="L24" i="7"/>
  <c r="L64" i="7"/>
  <c r="L43" i="7"/>
  <c r="L15" i="7"/>
  <c r="L23" i="7"/>
  <c r="L31" i="7"/>
  <c r="L39" i="7"/>
  <c r="L47" i="7"/>
  <c r="L55" i="7"/>
  <c r="L63" i="7"/>
  <c r="L16" i="7"/>
  <c r="L32" i="7"/>
  <c r="L48" i="7"/>
  <c r="L27" i="7"/>
  <c r="L59" i="7"/>
  <c r="L17" i="7"/>
  <c r="L25" i="7"/>
  <c r="L33" i="7"/>
  <c r="L41" i="7"/>
  <c r="L49" i="7"/>
  <c r="L57" i="7"/>
  <c r="L65" i="7"/>
  <c r="L26" i="7"/>
  <c r="L42" i="7"/>
  <c r="L58" i="7"/>
  <c r="L18" i="7"/>
  <c r="L34" i="7"/>
  <c r="L50" i="7"/>
  <c r="L66" i="7"/>
  <c r="L19" i="7"/>
  <c r="N13" i="7"/>
  <c r="N14" i="7"/>
  <c r="N15" i="7"/>
  <c r="N10" i="7"/>
  <c r="N12" i="7"/>
  <c r="N11" i="7"/>
  <c r="N16" i="7"/>
  <c r="N17" i="7"/>
  <c r="N21" i="7"/>
  <c r="N18" i="7"/>
  <c r="N20" i="7"/>
  <c r="N19" i="7"/>
  <c r="N23" i="7"/>
  <c r="N22" i="7"/>
  <c r="N26" i="7"/>
  <c r="N24" i="7"/>
  <c r="N27" i="7"/>
  <c r="N25" i="7"/>
  <c r="K66" i="7"/>
  <c r="D65" i="7"/>
  <c r="D68" i="7"/>
  <c r="N52" i="7"/>
  <c r="E67" i="7"/>
  <c r="N28" i="7"/>
  <c r="C65" i="7"/>
  <c r="I65" i="7"/>
  <c r="N57" i="7"/>
  <c r="K65" i="7"/>
  <c r="N61" i="7"/>
  <c r="D67" i="7"/>
  <c r="N32" i="7"/>
  <c r="C67" i="7"/>
  <c r="B65" i="7"/>
  <c r="N48" i="7"/>
  <c r="I69" i="7"/>
  <c r="H68" i="7"/>
  <c r="J69" i="7"/>
  <c r="N34" i="7"/>
  <c r="J65" i="7"/>
  <c r="H67" i="7"/>
  <c r="N50" i="7"/>
  <c r="J68" i="7"/>
  <c r="N54" i="7"/>
  <c r="N62" i="7"/>
  <c r="N36" i="7"/>
  <c r="N33" i="7"/>
  <c r="C68" i="7"/>
  <c r="K69" i="7"/>
  <c r="C66" i="7"/>
  <c r="D69" i="7"/>
  <c r="G68" i="7"/>
  <c r="N37" i="7"/>
  <c r="N40" i="7"/>
  <c r="N67" i="7"/>
  <c r="N35" i="7"/>
  <c r="G67" i="7"/>
  <c r="I64" i="7"/>
  <c r="E64" i="7"/>
  <c r="J64" i="7"/>
  <c r="K64" i="7"/>
  <c r="I68" i="7"/>
  <c r="B67" i="7"/>
  <c r="F67" i="7"/>
  <c r="N60" i="7"/>
  <c r="E65" i="7"/>
  <c r="G64" i="7"/>
  <c r="J67" i="7"/>
  <c r="C69" i="7"/>
  <c r="N56" i="7"/>
  <c r="N68" i="7"/>
  <c r="N44" i="7"/>
  <c r="N41" i="7"/>
  <c r="F66" i="7"/>
  <c r="N46" i="7"/>
  <c r="B66" i="7"/>
  <c r="N29" i="7"/>
  <c r="B64" i="7"/>
  <c r="I66" i="7"/>
  <c r="N69" i="7"/>
  <c r="I67" i="7"/>
  <c r="F64" i="7"/>
  <c r="N49" i="7"/>
  <c r="F68" i="7"/>
  <c r="G65" i="7"/>
  <c r="N30" i="7"/>
  <c r="D64" i="7"/>
  <c r="N63" i="7"/>
  <c r="B68" i="7"/>
  <c r="N45" i="7"/>
  <c r="N31" i="7"/>
  <c r="N66" i="7"/>
  <c r="H66" i="7"/>
  <c r="N47" i="7"/>
  <c r="B69" i="7"/>
  <c r="H65" i="7"/>
  <c r="N55" i="7"/>
  <c r="N43" i="7"/>
  <c r="E69" i="7"/>
  <c r="F69" i="7"/>
  <c r="N38" i="7"/>
  <c r="H69" i="7"/>
  <c r="K67" i="7"/>
  <c r="G69" i="7"/>
  <c r="N65" i="7"/>
  <c r="F65" i="7"/>
  <c r="N59" i="7"/>
  <c r="N39" i="7"/>
  <c r="K68" i="7"/>
  <c r="N42" i="7"/>
  <c r="H64" i="7"/>
  <c r="N64" i="7"/>
  <c r="J66" i="7"/>
  <c r="D66" i="7"/>
  <c r="G66" i="7"/>
  <c r="E66" i="7"/>
  <c r="N53" i="7"/>
  <c r="N51" i="7"/>
  <c r="E68" i="7"/>
  <c r="C64" i="7"/>
  <c r="N58" i="7"/>
  <c r="J22" i="7"/>
  <c r="J24" i="7"/>
  <c r="J10" i="7"/>
  <c r="J11" i="7"/>
  <c r="J13" i="7"/>
  <c r="J25" i="7"/>
  <c r="K22" i="7"/>
  <c r="J15" i="7"/>
  <c r="K21" i="7"/>
  <c r="K14" i="7"/>
  <c r="K20" i="7"/>
  <c r="K26" i="7"/>
  <c r="J26" i="7"/>
  <c r="J14" i="7"/>
  <c r="K16" i="7"/>
  <c r="J21" i="7"/>
  <c r="J17" i="7"/>
  <c r="K11" i="7"/>
  <c r="J20" i="7"/>
  <c r="K12" i="7"/>
  <c r="K13" i="7"/>
  <c r="J18" i="7"/>
  <c r="K23" i="7"/>
  <c r="K19" i="7"/>
  <c r="J12" i="7"/>
  <c r="J19" i="7"/>
  <c r="K24" i="7"/>
  <c r="K25" i="7"/>
  <c r="J23" i="7"/>
  <c r="K18" i="7"/>
  <c r="J16" i="7"/>
  <c r="K17" i="7"/>
  <c r="K15" i="7"/>
  <c r="K10" i="7"/>
  <c r="K34" i="7"/>
  <c r="J29" i="7"/>
  <c r="K29" i="7"/>
  <c r="J34" i="7"/>
  <c r="K33" i="7"/>
  <c r="K30" i="7"/>
  <c r="J35" i="7"/>
  <c r="J28" i="7"/>
  <c r="K37" i="7"/>
  <c r="K36" i="7"/>
  <c r="J33" i="7"/>
  <c r="K27" i="7"/>
  <c r="J30" i="7"/>
  <c r="J31" i="7"/>
  <c r="K31" i="7"/>
  <c r="K32" i="7"/>
  <c r="J37" i="7"/>
  <c r="J32" i="7"/>
  <c r="K35" i="7"/>
  <c r="J27" i="7"/>
  <c r="J36" i="7"/>
  <c r="K28" i="7"/>
  <c r="K43" i="7"/>
  <c r="K44" i="7"/>
  <c r="K45" i="7"/>
  <c r="K53" i="7"/>
  <c r="K61" i="7"/>
  <c r="J41" i="7"/>
  <c r="J49" i="7"/>
  <c r="J57" i="7"/>
  <c r="K42" i="7"/>
  <c r="J62" i="7"/>
  <c r="K59" i="7"/>
  <c r="K52" i="7"/>
  <c r="K38" i="7"/>
  <c r="K46" i="7"/>
  <c r="K54" i="7"/>
  <c r="K62" i="7"/>
  <c r="J42" i="7"/>
  <c r="J50" i="7"/>
  <c r="J58" i="7"/>
  <c r="K41" i="7"/>
  <c r="J45" i="7"/>
  <c r="J61" i="7"/>
  <c r="K50" i="7"/>
  <c r="J47" i="7"/>
  <c r="K39" i="7"/>
  <c r="K47" i="7"/>
  <c r="K55" i="7"/>
  <c r="K63" i="7"/>
  <c r="J43" i="7"/>
  <c r="J51" i="7"/>
  <c r="J59" i="7"/>
  <c r="J53" i="7"/>
  <c r="K58" i="7"/>
  <c r="K51" i="7"/>
  <c r="K60" i="7"/>
  <c r="J40" i="7"/>
  <c r="J56" i="7"/>
  <c r="K40" i="7"/>
  <c r="K48" i="7"/>
  <c r="K56" i="7"/>
  <c r="J44" i="7"/>
  <c r="J52" i="7"/>
  <c r="J60" i="7"/>
  <c r="J46" i="7"/>
  <c r="J39" i="7"/>
  <c r="J55" i="7"/>
  <c r="K49" i="7"/>
  <c r="K57" i="7"/>
  <c r="J38" i="7"/>
  <c r="J54" i="7"/>
  <c r="J63" i="7"/>
  <c r="J48" i="7"/>
  <c r="F10" i="7"/>
  <c r="H10" i="7"/>
  <c r="G13" i="7"/>
  <c r="B10" i="7"/>
  <c r="G10" i="7"/>
  <c r="D10" i="7"/>
  <c r="I10" i="7"/>
  <c r="E10" i="7"/>
  <c r="C10" i="7"/>
  <c r="E12" i="7"/>
  <c r="H12" i="7"/>
  <c r="C12" i="7"/>
  <c r="D12" i="7"/>
  <c r="H11" i="7"/>
  <c r="F13" i="7"/>
  <c r="D13" i="7"/>
  <c r="B16" i="7"/>
  <c r="H14" i="7"/>
  <c r="G12" i="7"/>
  <c r="I11" i="7"/>
  <c r="I14" i="7"/>
  <c r="B13" i="7"/>
  <c r="G14" i="7"/>
  <c r="I15" i="7"/>
  <c r="E15" i="7"/>
  <c r="F12" i="7"/>
  <c r="B11" i="7"/>
  <c r="I13" i="7"/>
  <c r="B14" i="7"/>
  <c r="G11" i="7"/>
  <c r="C13" i="7"/>
  <c r="D14" i="7"/>
  <c r="C11" i="7"/>
  <c r="C14" i="7"/>
  <c r="D11" i="7"/>
  <c r="H13" i="7"/>
  <c r="E14" i="7"/>
  <c r="B12" i="7"/>
  <c r="I12" i="7"/>
  <c r="F14" i="7"/>
  <c r="F11" i="7"/>
  <c r="E11" i="7"/>
  <c r="E13" i="7"/>
  <c r="B15" i="7"/>
  <c r="I17" i="7"/>
  <c r="F16" i="7"/>
  <c r="H17" i="7"/>
  <c r="C15" i="7"/>
  <c r="I16" i="7"/>
  <c r="E16" i="7"/>
  <c r="F15" i="7"/>
  <c r="H16" i="7"/>
  <c r="F18" i="7"/>
  <c r="C16" i="7"/>
  <c r="G16" i="7"/>
  <c r="D16" i="7"/>
  <c r="D15" i="7"/>
  <c r="I18" i="7"/>
  <c r="G15" i="7"/>
  <c r="H15" i="7"/>
  <c r="C18" i="7"/>
  <c r="I20" i="7"/>
  <c r="B20" i="7"/>
  <c r="G19" i="7"/>
  <c r="D19" i="7"/>
  <c r="F17" i="7"/>
  <c r="E17" i="7"/>
  <c r="C17" i="7"/>
  <c r="B18" i="7"/>
  <c r="H18" i="7"/>
  <c r="D18" i="7"/>
  <c r="D17" i="7"/>
  <c r="C19" i="7"/>
  <c r="D20" i="7"/>
  <c r="G18" i="7"/>
  <c r="B17" i="7"/>
  <c r="H20" i="7"/>
  <c r="E18" i="7"/>
  <c r="G17" i="7"/>
  <c r="E20" i="7"/>
  <c r="G20" i="7"/>
  <c r="F19" i="7"/>
  <c r="H24" i="7"/>
  <c r="F20" i="7"/>
  <c r="E19" i="7"/>
  <c r="B21" i="7"/>
  <c r="I22" i="7"/>
  <c r="H19" i="7"/>
  <c r="I19" i="7"/>
  <c r="C20" i="7"/>
  <c r="B19" i="7"/>
  <c r="G23" i="7"/>
  <c r="G21" i="7"/>
  <c r="F21" i="7"/>
  <c r="D21" i="7"/>
  <c r="I21" i="7"/>
  <c r="H21" i="7"/>
  <c r="C21" i="7"/>
  <c r="C22" i="7"/>
  <c r="G25" i="7"/>
  <c r="E21" i="7"/>
  <c r="H22" i="7"/>
  <c r="B22" i="7"/>
  <c r="F22" i="7"/>
  <c r="C26" i="7"/>
  <c r="E22" i="7"/>
  <c r="C23" i="7"/>
  <c r="G22" i="7"/>
  <c r="H23" i="7"/>
  <c r="I24" i="7"/>
  <c r="D22" i="7"/>
  <c r="F25" i="7"/>
  <c r="E23" i="7"/>
  <c r="I23" i="7"/>
  <c r="D23" i="7"/>
  <c r="B23" i="7"/>
  <c r="F23" i="7"/>
  <c r="E26" i="7"/>
  <c r="D25" i="7"/>
  <c r="C24" i="7"/>
  <c r="E24" i="7"/>
  <c r="I25" i="7"/>
  <c r="F24" i="7"/>
  <c r="H25" i="7"/>
  <c r="B25" i="7"/>
  <c r="D24" i="7"/>
  <c r="B24" i="7"/>
  <c r="I26" i="7"/>
  <c r="G24" i="7"/>
  <c r="F27" i="7"/>
  <c r="B26" i="7"/>
  <c r="H26" i="7"/>
  <c r="H28" i="7"/>
  <c r="E27" i="7"/>
  <c r="C25" i="7"/>
  <c r="F26" i="7"/>
  <c r="D26" i="7"/>
  <c r="G26" i="7"/>
  <c r="E25" i="7"/>
  <c r="G27" i="7"/>
  <c r="B27" i="7"/>
  <c r="C28" i="7"/>
  <c r="H27" i="7"/>
  <c r="C27" i="7"/>
  <c r="D27" i="7"/>
  <c r="G28" i="7"/>
  <c r="F30" i="7"/>
  <c r="I27" i="7"/>
  <c r="F28" i="7"/>
  <c r="B28" i="7"/>
  <c r="I28" i="7"/>
  <c r="E28" i="7"/>
  <c r="D28" i="7"/>
  <c r="C29" i="7"/>
  <c r="H29" i="7"/>
  <c r="E33" i="7"/>
  <c r="I32" i="7"/>
  <c r="H32" i="7"/>
  <c r="C34" i="7"/>
  <c r="E36" i="7"/>
  <c r="I29" i="7"/>
  <c r="I31" i="7"/>
  <c r="F33" i="7"/>
  <c r="D32" i="7"/>
  <c r="F31" i="7"/>
  <c r="G33" i="7"/>
  <c r="E31" i="7"/>
  <c r="E30" i="7"/>
  <c r="D29" i="7"/>
  <c r="H35" i="7"/>
  <c r="F32" i="7"/>
  <c r="G34" i="7"/>
  <c r="D36" i="7"/>
  <c r="C31" i="7"/>
  <c r="H34" i="7"/>
  <c r="I34" i="7"/>
  <c r="I33" i="7"/>
  <c r="B32" i="7"/>
  <c r="E29" i="7"/>
  <c r="I30" i="7"/>
  <c r="E32" i="7"/>
  <c r="G32" i="7"/>
  <c r="D31" i="7"/>
  <c r="E34" i="7"/>
  <c r="D30" i="7"/>
  <c r="H33" i="7"/>
  <c r="I36" i="7"/>
  <c r="H30" i="7"/>
  <c r="D44" i="7"/>
  <c r="H31" i="7"/>
  <c r="C32" i="7"/>
  <c r="B33" i="7"/>
  <c r="C30" i="7"/>
  <c r="F29" i="7"/>
  <c r="H45" i="7"/>
  <c r="B56" i="7"/>
  <c r="D34" i="7"/>
  <c r="B30" i="7"/>
  <c r="G29" i="7"/>
  <c r="B29" i="7"/>
  <c r="C33" i="7"/>
  <c r="F34" i="7"/>
  <c r="G30" i="7"/>
  <c r="G31" i="7"/>
  <c r="B31" i="7"/>
  <c r="D33" i="7"/>
  <c r="B34" i="7"/>
  <c r="H55" i="7"/>
  <c r="F49" i="7"/>
  <c r="D52" i="7"/>
  <c r="I61" i="7"/>
  <c r="H53" i="7"/>
  <c r="H37" i="7"/>
  <c r="H56" i="7"/>
  <c r="F47" i="7"/>
  <c r="F39" i="7"/>
  <c r="G39" i="7"/>
  <c r="E42" i="7"/>
  <c r="F55" i="7"/>
  <c r="I54" i="7"/>
  <c r="I60" i="7"/>
  <c r="H52" i="7"/>
  <c r="H44" i="7"/>
  <c r="H36" i="7"/>
  <c r="I51" i="7"/>
  <c r="G35" i="7"/>
  <c r="F46" i="7"/>
  <c r="F38" i="7"/>
  <c r="F57" i="7"/>
  <c r="G36" i="7"/>
  <c r="E49" i="7"/>
  <c r="E41" i="7"/>
  <c r="E60" i="7"/>
  <c r="I40" i="7"/>
  <c r="F52" i="7"/>
  <c r="D49" i="7"/>
  <c r="D41" i="7"/>
  <c r="D60" i="7"/>
  <c r="G47" i="7"/>
  <c r="C51" i="7"/>
  <c r="C43" i="7"/>
  <c r="C35" i="7"/>
  <c r="I47" i="7"/>
  <c r="B52" i="7"/>
  <c r="B44" i="7"/>
  <c r="B36" i="7"/>
  <c r="F45" i="7"/>
  <c r="G56" i="7"/>
  <c r="E59" i="7"/>
  <c r="E55" i="7"/>
  <c r="D40" i="7"/>
  <c r="G41" i="7"/>
  <c r="C50" i="7"/>
  <c r="C61" i="7"/>
  <c r="I42" i="7"/>
  <c r="B43" i="7"/>
  <c r="B35" i="7"/>
  <c r="I59" i="7"/>
  <c r="I45" i="7"/>
  <c r="F37" i="7"/>
  <c r="E48" i="7"/>
  <c r="G53" i="7"/>
  <c r="D48" i="7"/>
  <c r="D59" i="7"/>
  <c r="C42" i="7"/>
  <c r="B51" i="7"/>
  <c r="I44" i="7"/>
  <c r="I58" i="7"/>
  <c r="H50" i="7"/>
  <c r="H42" i="7"/>
  <c r="H61" i="7"/>
  <c r="I38" i="7"/>
  <c r="F53" i="7"/>
  <c r="F44" i="7"/>
  <c r="F36" i="7"/>
  <c r="I52" i="7"/>
  <c r="F54" i="7"/>
  <c r="E47" i="7"/>
  <c r="E39" i="7"/>
  <c r="E58" i="7"/>
  <c r="G49" i="7"/>
  <c r="D55" i="7"/>
  <c r="D47" i="7"/>
  <c r="D39" i="7"/>
  <c r="D58" i="7"/>
  <c r="G61" i="7"/>
  <c r="C49" i="7"/>
  <c r="C41" i="7"/>
  <c r="C60" i="7"/>
  <c r="G50" i="7"/>
  <c r="B50" i="7"/>
  <c r="B42" i="7"/>
  <c r="B61" i="7"/>
  <c r="I49" i="7"/>
  <c r="H51" i="7"/>
  <c r="G59" i="7"/>
  <c r="F56" i="7"/>
  <c r="E40" i="7"/>
  <c r="E54" i="7"/>
  <c r="E38" i="7"/>
  <c r="G44" i="7"/>
  <c r="D46" i="7"/>
  <c r="D38" i="7"/>
  <c r="G58" i="7"/>
  <c r="C48" i="7"/>
  <c r="C40" i="7"/>
  <c r="G45" i="7"/>
  <c r="B49" i="7"/>
  <c r="B41" i="7"/>
  <c r="B60" i="7"/>
  <c r="H43" i="7"/>
  <c r="I39" i="7"/>
  <c r="I57" i="7"/>
  <c r="H49" i="7"/>
  <c r="H41" i="7"/>
  <c r="H60" i="7"/>
  <c r="G55" i="7"/>
  <c r="F51" i="7"/>
  <c r="F43" i="7"/>
  <c r="F35" i="7"/>
  <c r="I41" i="7"/>
  <c r="E46" i="7"/>
  <c r="E57" i="7"/>
  <c r="D54" i="7"/>
  <c r="D57" i="7"/>
  <c r="C59" i="7"/>
  <c r="I37" i="7"/>
  <c r="I56" i="7"/>
  <c r="H48" i="7"/>
  <c r="H40" i="7"/>
  <c r="H59" i="7"/>
  <c r="G51" i="7"/>
  <c r="F50" i="7"/>
  <c r="F42" i="7"/>
  <c r="F61" i="7"/>
  <c r="G52" i="7"/>
  <c r="E53" i="7"/>
  <c r="E45" i="7"/>
  <c r="E37" i="7"/>
  <c r="E56" i="7"/>
  <c r="G38" i="7"/>
  <c r="D53" i="7"/>
  <c r="D45" i="7"/>
  <c r="D37" i="7"/>
  <c r="D56" i="7"/>
  <c r="C55" i="7"/>
  <c r="C47" i="7"/>
  <c r="C39" i="7"/>
  <c r="C58" i="7"/>
  <c r="G40" i="7"/>
  <c r="B48" i="7"/>
  <c r="B40" i="7"/>
  <c r="B59" i="7"/>
  <c r="H47" i="7"/>
  <c r="G46" i="7"/>
  <c r="G48" i="7"/>
  <c r="C54" i="7"/>
  <c r="C46" i="7"/>
  <c r="C38" i="7"/>
  <c r="C57" i="7"/>
  <c r="B55" i="7"/>
  <c r="B47" i="7"/>
  <c r="B39" i="7"/>
  <c r="B58" i="7"/>
  <c r="H39" i="7"/>
  <c r="F41" i="7"/>
  <c r="E52" i="7"/>
  <c r="I55" i="7"/>
  <c r="I48" i="7"/>
  <c r="I35" i="7"/>
  <c r="H54" i="7"/>
  <c r="H46" i="7"/>
  <c r="H38" i="7"/>
  <c r="H57" i="7"/>
  <c r="G42" i="7"/>
  <c r="F48" i="7"/>
  <c r="F40" i="7"/>
  <c r="F59" i="7"/>
  <c r="G43" i="7"/>
  <c r="E51" i="7"/>
  <c r="E43" i="7"/>
  <c r="E35" i="7"/>
  <c r="I50" i="7"/>
  <c r="G57" i="7"/>
  <c r="D51" i="7"/>
  <c r="D43" i="7"/>
  <c r="D35" i="7"/>
  <c r="I43" i="7"/>
  <c r="C53" i="7"/>
  <c r="C45" i="7"/>
  <c r="C37" i="7"/>
  <c r="C56" i="7"/>
  <c r="B54" i="7"/>
  <c r="B46" i="7"/>
  <c r="B38" i="7"/>
  <c r="B57" i="7"/>
  <c r="H58" i="7"/>
  <c r="F60" i="7"/>
  <c r="E44" i="7"/>
  <c r="G60" i="7"/>
  <c r="G37" i="7"/>
  <c r="F58" i="7"/>
  <c r="E50" i="7"/>
  <c r="E61" i="7"/>
  <c r="I46" i="7"/>
  <c r="D50" i="7"/>
  <c r="D42" i="7"/>
  <c r="D61" i="7"/>
  <c r="G54" i="7"/>
  <c r="C52" i="7"/>
  <c r="C44" i="7"/>
  <c r="C36" i="7"/>
  <c r="I53" i="7"/>
  <c r="B53" i="7"/>
  <c r="B45" i="7"/>
  <c r="B37" i="7"/>
  <c r="D62" i="7"/>
  <c r="H63" i="7"/>
  <c r="C62" i="7"/>
  <c r="B62" i="7"/>
  <c r="G62" i="7"/>
  <c r="D63" i="7"/>
  <c r="H62" i="7"/>
  <c r="G63" i="7"/>
  <c r="E62" i="7"/>
  <c r="F63" i="7"/>
  <c r="I63" i="7"/>
  <c r="B63" i="7"/>
  <c r="E63" i="7"/>
  <c r="F62" i="7"/>
  <c r="I62" i="7"/>
  <c r="C63" i="7"/>
  <c r="G37" i="9"/>
  <c r="G40" i="9" s="1"/>
  <c r="B7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James Taylor</author>
  </authors>
  <commentList>
    <comment ref="I35" authorId="0" shapeId="0" xr:uid="{FCABADEE-6CD4-4F93-B18D-321374A56FA8}">
      <text>
        <r>
          <rPr>
            <b/>
            <sz val="9"/>
            <color indexed="81"/>
            <rFont val="Tahoma"/>
            <family val="2"/>
          </rPr>
          <t xml:space="preserve">Information:
</t>
        </r>
        <r>
          <rPr>
            <sz val="9"/>
            <color indexed="81"/>
            <rFont val="Tahoma"/>
            <family val="2"/>
          </rPr>
          <t xml:space="preserve">Additional information is provided as a note and as demonstrated, hover your mouse over the blue </t>
        </r>
        <r>
          <rPr>
            <sz val="9"/>
            <color indexed="81"/>
            <rFont val="Webdings"/>
            <family val="1"/>
            <charset val="2"/>
          </rPr>
          <t>i</t>
        </r>
        <r>
          <rPr>
            <sz val="9"/>
            <color indexed="81"/>
            <rFont val="Tahoma"/>
            <family val="2"/>
          </rPr>
          <t xml:space="preserve"> to access.</t>
        </r>
      </text>
    </comment>
    <comment ref="B40" authorId="0" shapeId="0" xr:uid="{B09AC634-659F-4B0B-B0F2-C734F3E5B345}">
      <text>
        <r>
          <rPr>
            <b/>
            <sz val="9"/>
            <color indexed="81"/>
            <rFont val="Tahoma"/>
            <family val="2"/>
          </rPr>
          <t xml:space="preserve">Public Data:
</t>
        </r>
        <r>
          <rPr>
            <sz val="9"/>
            <color indexed="81"/>
            <rFont val="Tahoma"/>
            <family val="2"/>
          </rPr>
          <t>Data that the Charity openly shares with the public, this could be called un-classified - Please note, apart from the Trustee names, most of the information gathered in this worksheet should not be deemed Public.</t>
        </r>
      </text>
    </comment>
    <comment ref="E40" authorId="0" shapeId="0" xr:uid="{9C8C44FF-D94B-460C-8495-3063036224ED}">
      <text>
        <r>
          <rPr>
            <b/>
            <sz val="9"/>
            <color indexed="81"/>
            <rFont val="Tahoma"/>
            <family val="2"/>
          </rPr>
          <t xml:space="preserve">Personal Data:
</t>
        </r>
        <r>
          <rPr>
            <sz val="9"/>
            <color indexed="81"/>
            <rFont val="Tahoma"/>
            <family val="2"/>
          </rPr>
          <t xml:space="preserve">Most of the sensitive data the Charity will hold is probably Personal. This is the data that UK GDPR &amp; DPA 2018 is in place to protect. See the next data classiffier for handling more sensitive data.
</t>
        </r>
      </text>
    </comment>
    <comment ref="H40" authorId="0" shapeId="0" xr:uid="{64C994B6-49C1-46E1-AD3B-9D5EAB44B145}">
      <text>
        <r>
          <rPr>
            <b/>
            <sz val="9"/>
            <color indexed="81"/>
            <rFont val="Tahoma"/>
            <family val="2"/>
          </rPr>
          <t xml:space="preserve">Special Category:
</t>
        </r>
        <r>
          <rPr>
            <sz val="9"/>
            <color indexed="81"/>
            <rFont val="Tahoma"/>
            <family val="2"/>
          </rPr>
          <t xml:space="preserve">"Personal-Sensitive" is more descriptive than "Special Category", however that is the intention of this classification. There are requirements for stronger data protection when collecting data about; race, ethnicity, political views, religious beliefs, trade union membership, genetics, biometrics, health, sexual orientation and further safeguards for criminal convictions or offences. Throughout the legislation (and within the ICO) - this type of data is  referred to as "Special Category"
</t>
        </r>
      </text>
    </comment>
    <comment ref="K40" authorId="0" shapeId="0" xr:uid="{B9ACCBF8-FB70-4B7C-B6B5-9299083FFB8D}">
      <text>
        <r>
          <rPr>
            <b/>
            <sz val="9"/>
            <color indexed="81"/>
            <rFont val="Tahoma"/>
            <family val="2"/>
          </rPr>
          <t>Confidential Data:</t>
        </r>
        <r>
          <rPr>
            <sz val="9"/>
            <color indexed="81"/>
            <rFont val="Tahoma"/>
            <family val="2"/>
          </rPr>
          <t xml:space="preserve">
This category of classification is being suggested within this tool, and is intended for those documents that are confidential to the charity. For example, minutes from Board meetings would be confidential.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James Taylor</author>
  </authors>
  <commentList>
    <comment ref="A13" authorId="0" shapeId="0" xr:uid="{63E699FC-5248-4CE6-A5EE-81ED6EC4453E}">
      <text>
        <r>
          <rPr>
            <b/>
            <sz val="9"/>
            <color indexed="81"/>
            <rFont val="Tahoma"/>
            <family val="2"/>
          </rPr>
          <t xml:space="preserve">Trustee:
</t>
        </r>
        <r>
          <rPr>
            <sz val="9"/>
            <color indexed="81"/>
            <rFont val="Tahoma"/>
            <family val="2"/>
          </rPr>
          <t xml:space="preserve">All charities will have Trustees, whether they are a member of the board or an external person. There are legal obligations the trustee will provide to the charity as well as restrictions on who can be a trustee.
</t>
        </r>
      </text>
    </comment>
    <comment ref="K15" authorId="0" shapeId="0" xr:uid="{646BA365-5663-4F7A-A340-BEDA48D67E77}">
      <text>
        <r>
          <rPr>
            <b/>
            <sz val="9"/>
            <color indexed="81"/>
            <rFont val="Tahoma"/>
            <family val="2"/>
          </rPr>
          <t xml:space="preserve">Contact Details:
</t>
        </r>
        <r>
          <rPr>
            <sz val="9"/>
            <color indexed="81"/>
            <rFont val="Tahoma"/>
            <family val="2"/>
          </rPr>
          <t>As indicated in the Introduction, this would normally be the employees full name, their street address, postcode, e-mail address and telephone numbers (mobile or land line)</t>
        </r>
      </text>
    </comment>
    <comment ref="K16" authorId="0" shapeId="0" xr:uid="{A26BF96B-BE3A-40BC-B7F2-B8B77141FB16}">
      <text>
        <r>
          <rPr>
            <b/>
            <sz val="9"/>
            <color indexed="81"/>
            <rFont val="Tahoma"/>
            <family val="2"/>
          </rPr>
          <t xml:space="preserve">Trustee Eligibility:
</t>
        </r>
        <r>
          <rPr>
            <sz val="9"/>
            <color indexed="81"/>
            <rFont val="Tahoma"/>
            <family val="2"/>
          </rPr>
          <t>Disqualification tables can be found in the web link. In brief, they include Bankruptcy, unspent conviction for certain offences and being on the sex offender's register</t>
        </r>
      </text>
    </comment>
    <comment ref="K17" authorId="0" shapeId="0" xr:uid="{3F4833D9-775E-4DAE-BB3B-8D1E4F6681BE}">
      <text>
        <r>
          <rPr>
            <b/>
            <sz val="9"/>
            <color indexed="81"/>
            <rFont val="Tahoma"/>
            <family val="2"/>
          </rPr>
          <t xml:space="preserve">Other Data:
</t>
        </r>
        <r>
          <rPr>
            <sz val="9"/>
            <color indexed="81"/>
            <rFont val="Tahoma"/>
            <family val="2"/>
          </rPr>
          <t xml:space="preserve">Please let the publisher know what data is being collected, if it’s a datatype that should be listed separately, future versions may accommodate the field
</t>
        </r>
      </text>
    </comment>
    <comment ref="A20" authorId="0" shapeId="0" xr:uid="{98B5F50B-2DE7-497E-83AD-3C7B33A84EE0}">
      <text>
        <r>
          <rPr>
            <b/>
            <sz val="9"/>
            <color indexed="81"/>
            <rFont val="Tahoma"/>
            <family val="2"/>
          </rPr>
          <t xml:space="preserve">Employee:
</t>
        </r>
        <r>
          <rPr>
            <sz val="9"/>
            <color indexed="81"/>
            <rFont val="Tahoma"/>
            <family val="2"/>
          </rPr>
          <t>Any person that is directly employed by the charity - if the charity is only hiring contractors - complete the section for Practitioners.</t>
        </r>
      </text>
    </comment>
    <comment ref="K23" authorId="0" shapeId="0" xr:uid="{5645FA0B-B1AA-4FB6-B088-B4CC231F3891}">
      <text>
        <r>
          <rPr>
            <b/>
            <sz val="9"/>
            <color indexed="81"/>
            <rFont val="Tahoma"/>
            <family val="2"/>
          </rPr>
          <t xml:space="preserve">Contact Details:
</t>
        </r>
        <r>
          <rPr>
            <sz val="9"/>
            <color indexed="81"/>
            <rFont val="Tahoma"/>
            <family val="2"/>
          </rPr>
          <t>As indicated in the Introduction, this would normally be the employees full name, their street address, postcode, e-mail address and telephone numbers (mobile or land line)</t>
        </r>
      </text>
    </comment>
    <comment ref="K25" authorId="0" shapeId="0" xr:uid="{49C13B0B-48C1-4F6C-B007-B403D1247DBB}">
      <text>
        <r>
          <rPr>
            <b/>
            <sz val="9"/>
            <color indexed="81"/>
            <rFont val="Tahoma"/>
            <family val="2"/>
          </rPr>
          <t xml:space="preserve">Payroll Details:
</t>
        </r>
        <r>
          <rPr>
            <sz val="9"/>
            <color indexed="81"/>
            <rFont val="Tahoma"/>
            <family val="2"/>
          </rPr>
          <t>These are all the usual details needed to set up your employee on payroll. National Insurance number, personal banking details, tax codes etc.</t>
        </r>
      </text>
    </comment>
    <comment ref="K31" authorId="0" shapeId="0" xr:uid="{98C57E49-9DFB-4764-8A70-4DC11D1D4AA2}">
      <text>
        <r>
          <rPr>
            <b/>
            <sz val="9"/>
            <color indexed="81"/>
            <rFont val="Tahoma"/>
            <family val="2"/>
          </rPr>
          <t xml:space="preserve">Special Category Data:
</t>
        </r>
        <r>
          <rPr>
            <sz val="9"/>
            <color indexed="81"/>
            <rFont val="Tahoma"/>
            <family val="2"/>
          </rPr>
          <t>This type of data may be deemed special category data and requires additional considerations. Please click the web icon to view the relevant pages from the ICO</t>
        </r>
      </text>
    </comment>
    <comment ref="K32" authorId="0" shapeId="0" xr:uid="{E2D3DCC4-A1E5-4D89-ABA9-AC5C88AD45ED}">
      <text>
        <r>
          <rPr>
            <b/>
            <sz val="9"/>
            <color indexed="81"/>
            <rFont val="Tahoma"/>
            <family val="2"/>
          </rPr>
          <t xml:space="preserve">Special Category Data:
</t>
        </r>
        <r>
          <rPr>
            <sz val="9"/>
            <color indexed="81"/>
            <rFont val="Tahoma"/>
            <family val="2"/>
          </rPr>
          <t>This type of data may be deemed special category data and requires additional considerations. Please click the web icon to view the relevant pages from the ICO</t>
        </r>
      </text>
    </comment>
    <comment ref="K33" authorId="0" shapeId="0" xr:uid="{50E20CCF-7D21-4ECD-A22B-6568B931D8FB}">
      <text>
        <r>
          <rPr>
            <b/>
            <sz val="9"/>
            <color indexed="81"/>
            <rFont val="Tahoma"/>
            <family val="2"/>
          </rPr>
          <t xml:space="preserve">Special Category Data:
</t>
        </r>
        <r>
          <rPr>
            <sz val="9"/>
            <color indexed="81"/>
            <rFont val="Tahoma"/>
            <family val="2"/>
          </rPr>
          <t>This type of data may be deemed special category data and requires additional considerations. Please click the web icon to view the relevant pages from the ICO</t>
        </r>
      </text>
    </comment>
    <comment ref="K35" authorId="0" shapeId="0" xr:uid="{7D14EF84-230D-41C6-BC4A-615E6E72B515}">
      <text>
        <r>
          <rPr>
            <b/>
            <sz val="9"/>
            <color indexed="81"/>
            <rFont val="Tahoma"/>
            <family val="2"/>
          </rPr>
          <t xml:space="preserve">Right to Work:
</t>
        </r>
        <r>
          <rPr>
            <sz val="9"/>
            <color indexed="81"/>
            <rFont val="Tahoma"/>
            <family val="2"/>
          </rPr>
          <t xml:space="preserve">Whilst this data may not be special category data, does the charity keep a copy of the passport, birth certificate or other proof, to satisfy the right to work in the UK?
</t>
        </r>
      </text>
    </comment>
    <comment ref="K36" authorId="0" shapeId="0" xr:uid="{BC758F76-1798-4B62-AADD-EB5C7873D62E}">
      <text>
        <r>
          <rPr>
            <b/>
            <sz val="9"/>
            <color indexed="81"/>
            <rFont val="Tahoma"/>
            <family val="2"/>
          </rPr>
          <t xml:space="preserve">Other Data:
</t>
        </r>
        <r>
          <rPr>
            <sz val="9"/>
            <color indexed="81"/>
            <rFont val="Tahoma"/>
            <family val="2"/>
          </rPr>
          <t xml:space="preserve">Consider the most sensitive datatype that is being collected, classify it as per the instructions from the Home Page and in the box that will appear below, enter an appropriate description
</t>
        </r>
      </text>
    </comment>
    <comment ref="A39" authorId="0" shapeId="0" xr:uid="{52F4A81B-E905-493B-BA1C-555C145FC925}">
      <text>
        <r>
          <rPr>
            <b/>
            <sz val="9"/>
            <color indexed="81"/>
            <rFont val="Tahoma"/>
            <family val="2"/>
          </rPr>
          <t xml:space="preserve">Volunteer:
</t>
        </r>
        <r>
          <rPr>
            <sz val="9"/>
            <color indexed="81"/>
            <rFont val="Tahoma"/>
            <family val="2"/>
          </rPr>
          <t>Any person that doing un-paid work for the charity would be a Volunteer. If work is paid, either as an Employee or a Practitioner, complete the relevant section.</t>
        </r>
      </text>
    </comment>
    <comment ref="K42" authorId="0" shapeId="0" xr:uid="{B5817AFF-5334-484F-852D-16A6994F2387}">
      <text>
        <r>
          <rPr>
            <b/>
            <sz val="9"/>
            <color indexed="81"/>
            <rFont val="Tahoma"/>
            <family val="2"/>
          </rPr>
          <t xml:space="preserve">Contact Details:
</t>
        </r>
        <r>
          <rPr>
            <sz val="9"/>
            <color indexed="81"/>
            <rFont val="Tahoma"/>
            <family val="2"/>
          </rPr>
          <t>As indicated in the Introduction, this would normally be the employees full name, their street address, postcode, e-mail address and telephone numbers (mobile or land line)</t>
        </r>
      </text>
    </comment>
    <comment ref="K44" authorId="0" shapeId="0" xr:uid="{DEECD1C1-D576-4C18-948C-D675080AB747}">
      <text>
        <r>
          <rPr>
            <b/>
            <sz val="9"/>
            <color indexed="81"/>
            <rFont val="Tahoma"/>
            <family val="2"/>
          </rPr>
          <t xml:space="preserve">Special Category Data:
</t>
        </r>
        <r>
          <rPr>
            <sz val="9"/>
            <color indexed="81"/>
            <rFont val="Tahoma"/>
            <family val="2"/>
          </rPr>
          <t>This type of data may be deemed special category data and requires additional considerations. Please click the web icon to view the relevant pages from the ICO</t>
        </r>
      </text>
    </comment>
    <comment ref="K45" authorId="0" shapeId="0" xr:uid="{1DC5AF5F-755E-4C31-8ECD-58506A58EF52}">
      <text>
        <r>
          <rPr>
            <b/>
            <sz val="9"/>
            <color indexed="81"/>
            <rFont val="Tahoma"/>
            <family val="2"/>
          </rPr>
          <t xml:space="preserve">Special Category Data:
</t>
        </r>
        <r>
          <rPr>
            <sz val="9"/>
            <color indexed="81"/>
            <rFont val="Tahoma"/>
            <family val="2"/>
          </rPr>
          <t>This type of data may be deemed special category data and requires additional considerations. Please click the web icon to view the relevant pages from the ICO</t>
        </r>
      </text>
    </comment>
    <comment ref="K46" authorId="0" shapeId="0" xr:uid="{B127E480-199B-407A-86F8-69EFC197C80C}">
      <text>
        <r>
          <rPr>
            <b/>
            <sz val="9"/>
            <color indexed="81"/>
            <rFont val="Tahoma"/>
            <family val="2"/>
          </rPr>
          <t xml:space="preserve">Special Category Data:
</t>
        </r>
        <r>
          <rPr>
            <sz val="9"/>
            <color indexed="81"/>
            <rFont val="Tahoma"/>
            <family val="2"/>
          </rPr>
          <t>This type of data may be deemed special category data and requires additional considerations. Please click the web icon to view the relevant pages from the ICO</t>
        </r>
      </text>
    </comment>
    <comment ref="K48" authorId="0" shapeId="0" xr:uid="{EC96E605-B394-45ED-AF09-C4C46801991D}">
      <text>
        <r>
          <rPr>
            <b/>
            <sz val="9"/>
            <color indexed="81"/>
            <rFont val="Tahoma"/>
            <family val="2"/>
          </rPr>
          <t xml:space="preserve">Volunteer availability:
</t>
        </r>
        <r>
          <rPr>
            <sz val="9"/>
            <color indexed="81"/>
            <rFont val="Tahoma"/>
            <family val="2"/>
          </rPr>
          <t>Think of the usefulness of this data for a would-be burglar. Knowing when a volunteer is out of the house could be used for illegal purposes. Therefore, treat this data with sensitivity.</t>
        </r>
      </text>
    </comment>
    <comment ref="K49" authorId="0" shapeId="0" xr:uid="{7D8AB0CE-9801-46A1-974F-91FCE8296C3E}">
      <text>
        <r>
          <rPr>
            <b/>
            <sz val="9"/>
            <color indexed="81"/>
            <rFont val="Tahoma"/>
            <family val="2"/>
          </rPr>
          <t xml:space="preserve">Other Data:
</t>
        </r>
        <r>
          <rPr>
            <sz val="9"/>
            <color indexed="81"/>
            <rFont val="Tahoma"/>
            <family val="2"/>
          </rPr>
          <t>Consider the most sensitive datatype that is being collected, classify it as per the instructions from the Home Page and in the box that will appear below, enter an appropriate description</t>
        </r>
        <r>
          <rPr>
            <b/>
            <sz val="9"/>
            <color indexed="81"/>
            <rFont val="Tahoma"/>
            <family val="2"/>
          </rPr>
          <t xml:space="preserve">
</t>
        </r>
        <r>
          <rPr>
            <sz val="9"/>
            <color indexed="81"/>
            <rFont val="Tahoma"/>
            <family val="2"/>
          </rPr>
          <t xml:space="preserve">
</t>
        </r>
      </text>
    </comment>
    <comment ref="A52" authorId="0" shapeId="0" xr:uid="{D84DC1B4-42AE-4922-8264-9182C5E65052}">
      <text>
        <r>
          <rPr>
            <b/>
            <sz val="9"/>
            <color indexed="81"/>
            <rFont val="Tahoma"/>
            <family val="2"/>
          </rPr>
          <t xml:space="preserve">Beneficiary:
</t>
        </r>
        <r>
          <rPr>
            <sz val="9"/>
            <color indexed="81"/>
            <rFont val="Tahoma"/>
            <family val="2"/>
          </rPr>
          <t>Any person that is a recipient or client of the Charity's services. If the Charity is working with animals for instance, consider the details collected about the owner (although treatment records would refer to the animal)</t>
        </r>
      </text>
    </comment>
    <comment ref="K55" authorId="0" shapeId="0" xr:uid="{9488FFBB-8BB0-4E9D-90CA-3FDDE8196E4B}">
      <text>
        <r>
          <rPr>
            <b/>
            <sz val="9"/>
            <color indexed="81"/>
            <rFont val="Tahoma"/>
            <family val="2"/>
          </rPr>
          <t xml:space="preserve">Contact Details:
</t>
        </r>
        <r>
          <rPr>
            <sz val="9"/>
            <color indexed="81"/>
            <rFont val="Tahoma"/>
            <family val="2"/>
          </rPr>
          <t>As indicated in the Introduction, this would normally be the employees full name, their street address, postcode, e-mail address and telephone numbers (mobile or land line)</t>
        </r>
      </text>
    </comment>
    <comment ref="K57" authorId="0" shapeId="0" xr:uid="{9D0D0A0D-5431-4E5B-B8AF-8518E8A6206F}">
      <text>
        <r>
          <rPr>
            <b/>
            <sz val="9"/>
            <color indexed="81"/>
            <rFont val="Tahoma"/>
            <family val="2"/>
          </rPr>
          <t xml:space="preserve">Special Category Data - Health:
</t>
        </r>
        <r>
          <rPr>
            <sz val="9"/>
            <color indexed="81"/>
            <rFont val="Tahoma"/>
            <family val="2"/>
          </rPr>
          <t>This type of data may be deemed special category data and requires additional considerations. Please click the web icon to view the relevant pages from the ICO or refer to DPA 2018, Part 7, Section 205</t>
        </r>
      </text>
    </comment>
    <comment ref="K60" authorId="0" shapeId="0" xr:uid="{3E5DF392-3A8D-4EDE-875F-A9A032A42EE3}">
      <text>
        <r>
          <rPr>
            <b/>
            <sz val="9"/>
            <color indexed="81"/>
            <rFont val="Tahoma"/>
            <family val="2"/>
          </rPr>
          <t xml:space="preserve">Treatment records
</t>
        </r>
        <r>
          <rPr>
            <sz val="9"/>
            <color indexed="81"/>
            <rFont val="Tahoma"/>
            <family val="2"/>
          </rPr>
          <t>Does the charity, propose, schedule and record the treatment(s) given to the beneficiary</t>
        </r>
      </text>
    </comment>
    <comment ref="K61" authorId="0" shapeId="0" xr:uid="{8E0CEBEC-928E-475C-8028-97A0F2E1834A}">
      <text>
        <r>
          <rPr>
            <b/>
            <sz val="9"/>
            <color indexed="81"/>
            <rFont val="Tahoma"/>
            <family val="2"/>
          </rPr>
          <t xml:space="preserve">Other Data:
</t>
        </r>
        <r>
          <rPr>
            <sz val="9"/>
            <color indexed="81"/>
            <rFont val="Tahoma"/>
            <family val="2"/>
          </rPr>
          <t xml:space="preserve">Consider the most sensitive datatype that is being collected, classify it as per the instructions from the Home Page and in the box that will appear below, enter an appropriate description
</t>
        </r>
      </text>
    </comment>
    <comment ref="A64" authorId="0" shapeId="0" xr:uid="{438DF2ED-8C51-4A6F-99CE-B555D27F5A09}">
      <text>
        <r>
          <rPr>
            <b/>
            <sz val="9"/>
            <color indexed="81"/>
            <rFont val="Tahoma"/>
            <family val="2"/>
          </rPr>
          <t xml:space="preserve">Donors:
</t>
        </r>
        <r>
          <rPr>
            <sz val="9"/>
            <color indexed="81"/>
            <rFont val="Tahoma"/>
            <family val="2"/>
          </rPr>
          <t>Data that is collected about an individual that makes regular, singular, legacy donations to the charity. Donations made by cheque or standing order, are initiated by the donor, there is little to process by the charity from a Personal data perspective - unless there is a thank-you communication being sent</t>
        </r>
      </text>
    </comment>
    <comment ref="K67" authorId="0" shapeId="0" xr:uid="{3CCF40B3-D6C6-4D8D-81BC-0C22958A5444}">
      <text>
        <r>
          <rPr>
            <b/>
            <sz val="9"/>
            <color indexed="81"/>
            <rFont val="Tahoma"/>
            <family val="2"/>
          </rPr>
          <t xml:space="preserve">Contact Details:
</t>
        </r>
        <r>
          <rPr>
            <sz val="9"/>
            <color indexed="81"/>
            <rFont val="Tahoma"/>
            <family val="2"/>
          </rPr>
          <t>As indicated in the Introduction, this would normally be the employees full name, their street address, postcode, e-mail address and telephone numbers (mobile or land line)</t>
        </r>
      </text>
    </comment>
    <comment ref="K68" authorId="0" shapeId="0" xr:uid="{7F6C91F7-2FF8-4105-A3A3-C95AD6009367}">
      <text>
        <r>
          <rPr>
            <b/>
            <sz val="9"/>
            <color indexed="81"/>
            <rFont val="Tahoma"/>
            <family val="2"/>
          </rPr>
          <t xml:space="preserve">Marketing Consent:
</t>
        </r>
        <r>
          <rPr>
            <sz val="9"/>
            <color indexed="81"/>
            <rFont val="Tahoma"/>
            <family val="2"/>
          </rPr>
          <t>Whilst there may be legitimate interest, to allow the charity to process data for the purposes of marketing. Explicit consent would appear more respectful to the donor.</t>
        </r>
      </text>
    </comment>
    <comment ref="K69" authorId="0" shapeId="0" xr:uid="{E2E31D85-045B-448B-BB4D-4D61B293C622}">
      <text>
        <r>
          <rPr>
            <b/>
            <sz val="9"/>
            <color indexed="81"/>
            <rFont val="Tahoma"/>
            <family val="2"/>
          </rPr>
          <t xml:space="preserve">Debit and Credit cards:
</t>
        </r>
        <r>
          <rPr>
            <sz val="9"/>
            <color indexed="81"/>
            <rFont val="Tahoma"/>
            <family val="2"/>
          </rPr>
          <t>Whilst this data is highly sensitive, there are further compliance considerations to make with regards to PCI DSS - Whilst many principles for secure data management can be applied, it is best to refer to the correct processes</t>
        </r>
      </text>
    </comment>
    <comment ref="K70" authorId="0" shapeId="0" xr:uid="{1AB54CD3-AB6F-4F42-8DF6-46F24BF7D1B8}">
      <text>
        <r>
          <rPr>
            <b/>
            <sz val="9"/>
            <color indexed="81"/>
            <rFont val="Tahoma"/>
            <family val="2"/>
          </rPr>
          <t xml:space="preserve">Direct Debit:
</t>
        </r>
        <r>
          <rPr>
            <sz val="9"/>
            <color indexed="81"/>
            <rFont val="Tahoma"/>
            <family val="2"/>
          </rPr>
          <t>This instruction should be managed by the Donors and Charity's bank. Check with your bank regarding UK GDPR requirements</t>
        </r>
      </text>
    </comment>
    <comment ref="K74" authorId="0" shapeId="0" xr:uid="{0FFFC2C6-E854-4199-9B51-FC2204D96878}">
      <text>
        <r>
          <rPr>
            <b/>
            <sz val="9"/>
            <color indexed="81"/>
            <rFont val="Tahoma"/>
            <family val="2"/>
          </rPr>
          <t xml:space="preserve">Other Data:
</t>
        </r>
        <r>
          <rPr>
            <sz val="9"/>
            <color indexed="81"/>
            <rFont val="Tahoma"/>
            <family val="2"/>
          </rPr>
          <t xml:space="preserve">Consider the most sensitive datatype that is being collected, classify it as per the instructions from the Home Page and in the box that will appear below, enter an appropriate description
</t>
        </r>
      </text>
    </comment>
    <comment ref="A77" authorId="0" shapeId="0" xr:uid="{93BF22D8-6ED1-47A8-A8D4-1B49E6675BD7}">
      <text>
        <r>
          <rPr>
            <b/>
            <sz val="9"/>
            <color indexed="81"/>
            <rFont val="Tahoma"/>
            <family val="2"/>
          </rPr>
          <t xml:space="preserve">Practitioner:
</t>
        </r>
        <r>
          <rPr>
            <sz val="9"/>
            <color indexed="81"/>
            <rFont val="Tahoma"/>
            <family val="2"/>
          </rPr>
          <t xml:space="preserve">A 3rd party contractor that is paid to provide services on behalf of the charity to the beneficiaries. </t>
        </r>
      </text>
    </comment>
    <comment ref="K80" authorId="0" shapeId="0" xr:uid="{5E65E924-4D03-4C34-903D-1F0E47D9F8BD}">
      <text>
        <r>
          <rPr>
            <b/>
            <sz val="9"/>
            <color indexed="81"/>
            <rFont val="Tahoma"/>
            <family val="2"/>
          </rPr>
          <t xml:space="preserve">Contact Details:
</t>
        </r>
        <r>
          <rPr>
            <sz val="9"/>
            <color indexed="81"/>
            <rFont val="Tahoma"/>
            <family val="2"/>
          </rPr>
          <t>As indicated in the Introduction, this would normally be the employees full name, their street address, postcode, e-mail address and telephone numbers (mobile or land line)</t>
        </r>
      </text>
    </comment>
    <comment ref="K81" authorId="0" shapeId="0" xr:uid="{D62A0DB1-4300-433C-9B7A-958D395391E0}">
      <text>
        <r>
          <rPr>
            <b/>
            <sz val="9"/>
            <color indexed="81"/>
            <rFont val="Tahoma"/>
            <family val="2"/>
          </rPr>
          <t xml:space="preserve">Banking Details:
</t>
        </r>
        <r>
          <rPr>
            <sz val="9"/>
            <color indexed="81"/>
            <rFont val="Tahoma"/>
            <family val="2"/>
          </rPr>
          <t>Billing information the charity can confirm with the practitioner. NB. The charity is advised to have a supplier process to confirm any changes to banking information to verify the change. This process is not in scope for this tool.</t>
        </r>
      </text>
    </comment>
    <comment ref="K83" authorId="0" shapeId="0" xr:uid="{8B5B6E36-7B72-47D6-9AFD-7E4FD7F61236}">
      <text>
        <r>
          <rPr>
            <b/>
            <sz val="9"/>
            <color indexed="81"/>
            <rFont val="Tahoma"/>
            <family val="2"/>
          </rPr>
          <t xml:space="preserve">Treatment records
</t>
        </r>
        <r>
          <rPr>
            <sz val="9"/>
            <color indexed="81"/>
            <rFont val="Tahoma"/>
            <family val="2"/>
          </rPr>
          <t xml:space="preserve">If providing services for animal care, leave this box unchecked. </t>
        </r>
      </text>
    </comment>
    <comment ref="K84" authorId="0" shapeId="0" xr:uid="{A84E4CBB-9063-4F1B-89F2-F517D6BDF3BC}">
      <text>
        <r>
          <rPr>
            <b/>
            <sz val="9"/>
            <color indexed="81"/>
            <rFont val="Tahoma"/>
            <family val="2"/>
          </rPr>
          <t xml:space="preserve">Liability Insurance:
</t>
        </r>
        <r>
          <rPr>
            <sz val="9"/>
            <color indexed="81"/>
            <rFont val="Tahoma"/>
            <family val="2"/>
          </rPr>
          <t xml:space="preserve">Does the practitioner have indemnity insurance for the services they are providing - has a copy been provided to the charity
</t>
        </r>
      </text>
    </comment>
    <comment ref="K85" authorId="0" shapeId="0" xr:uid="{3112ED98-5A7A-430B-873A-927429BDD11C}">
      <text>
        <r>
          <rPr>
            <b/>
            <sz val="9"/>
            <color indexed="81"/>
            <rFont val="Tahoma"/>
            <family val="2"/>
          </rPr>
          <t xml:space="preserve">DPA 2018 Compliance:
</t>
        </r>
        <r>
          <rPr>
            <sz val="9"/>
            <color indexed="81"/>
            <rFont val="Tahoma"/>
            <family val="2"/>
          </rPr>
          <t xml:space="preserve">As the data controller, the charity is providing personal data to a 3rd party to process. As a controller, the charity is responsible for the processing of the data, whether that is done in-house or through suppliers.
</t>
        </r>
      </text>
    </comment>
    <comment ref="K86" authorId="0" shapeId="0" xr:uid="{5FCF39AF-DD5B-4CDB-B368-A49447ED9DE5}">
      <text>
        <r>
          <rPr>
            <b/>
            <sz val="9"/>
            <color indexed="81"/>
            <rFont val="Tahoma"/>
            <family val="2"/>
          </rPr>
          <t xml:space="preserve">Other Data:
</t>
        </r>
        <r>
          <rPr>
            <sz val="9"/>
            <color indexed="81"/>
            <rFont val="Tahoma"/>
            <family val="2"/>
          </rPr>
          <t xml:space="preserve">Consider the most sensitive datatype that is being collected, classify it as per the instructions from the Home Page and in the box that will appear below, enter an appropriate description
</t>
        </r>
      </text>
    </comment>
    <comment ref="A89" authorId="0" shapeId="0" xr:uid="{B6DDE5FB-98D5-4210-8338-B7455FB249BF}">
      <text>
        <r>
          <rPr>
            <b/>
            <sz val="9"/>
            <color indexed="81"/>
            <rFont val="Tahoma"/>
            <family val="2"/>
          </rPr>
          <t xml:space="preserve">Marketing Consent:
</t>
        </r>
        <r>
          <rPr>
            <sz val="9"/>
            <color indexed="81"/>
            <rFont val="Tahoma"/>
            <family val="2"/>
          </rPr>
          <t>This ensures compliance for individuals that wish to be kept informed of the charity's activities and have consented to receive information from the charity.</t>
        </r>
      </text>
    </comment>
    <comment ref="K92" authorId="0" shapeId="0" xr:uid="{8E76FB83-3DAB-4096-89BE-73F647A72F45}">
      <text>
        <r>
          <rPr>
            <b/>
            <sz val="9"/>
            <color indexed="81"/>
            <rFont val="Tahoma"/>
            <family val="2"/>
          </rPr>
          <t xml:space="preserve">Contact Details:
</t>
        </r>
        <r>
          <rPr>
            <sz val="9"/>
            <color indexed="81"/>
            <rFont val="Tahoma"/>
            <family val="2"/>
          </rPr>
          <t>As indicated in the Introduction, this would normally be the employees full name, their street address, postcode, e-mail address and telephone numbers (mobile or land line)</t>
        </r>
      </text>
    </comment>
    <comment ref="K94" authorId="0" shapeId="0" xr:uid="{6F3A0B11-9A14-4FED-8548-64415DD727C0}">
      <text>
        <r>
          <rPr>
            <b/>
            <sz val="9"/>
            <color indexed="81"/>
            <rFont val="Tahoma"/>
            <family val="2"/>
          </rPr>
          <t xml:space="preserve">Marketing Consent:
</t>
        </r>
        <r>
          <rPr>
            <sz val="9"/>
            <color indexed="81"/>
            <rFont val="Tahoma"/>
            <family val="2"/>
          </rPr>
          <t>Whilst there may be legitimate interest, to allow the charity to process data for the purposes of marketing. Explicit consent would appear more respectful to the donor.</t>
        </r>
      </text>
    </comment>
    <comment ref="K95" authorId="0" shapeId="0" xr:uid="{EF5B309F-A5F9-4E5F-B42E-295D07653679}">
      <text>
        <r>
          <rPr>
            <b/>
            <sz val="9"/>
            <color indexed="81"/>
            <rFont val="Tahoma"/>
            <family val="2"/>
          </rPr>
          <t xml:space="preserve">Other Data:
</t>
        </r>
        <r>
          <rPr>
            <sz val="9"/>
            <color indexed="81"/>
            <rFont val="Tahoma"/>
            <family val="2"/>
          </rPr>
          <t xml:space="preserve">Consider the most sensitive datatype that is being collected, classify it as per the instructions from the Home Page and in the box that will appear below, enter an appropriate description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James Taylor</author>
  </authors>
  <commentList>
    <comment ref="K27" authorId="0" shapeId="0" xr:uid="{C05ACF88-63B1-4A28-AB0C-6AE5974E1460}">
      <text>
        <r>
          <rPr>
            <b/>
            <sz val="9"/>
            <color indexed="81"/>
            <rFont val="Tahoma"/>
            <family val="2"/>
          </rPr>
          <t xml:space="preserve">Trustee Processing:
</t>
        </r>
        <r>
          <rPr>
            <sz val="9"/>
            <color indexed="81"/>
            <rFont val="Tahoma"/>
            <family val="2"/>
          </rPr>
          <t>Select "Yes" if the data is only used to manage the Charity's business. It is anticipated Trustee data will also be held by either the Charities Commission, Companies House or any other such institution as is required.</t>
        </r>
      </text>
    </comment>
    <comment ref="K28" authorId="0" shapeId="0" xr:uid="{E64343C3-576E-401F-A27E-609D3C8C7A72}">
      <text>
        <r>
          <rPr>
            <b/>
            <sz val="9"/>
            <color indexed="81"/>
            <rFont val="Tahoma"/>
            <family val="2"/>
          </rPr>
          <t xml:space="preserve">Trustee 3rd Party Processing:
</t>
        </r>
        <r>
          <rPr>
            <sz val="9"/>
            <color indexed="81"/>
            <rFont val="Tahoma"/>
            <family val="2"/>
          </rPr>
          <t>Outside of the official and statutory Data Processors as indicated in the above note. Is Trustee information given to any other 3rd party to process? This could be a 3rd party that processes expenses for instance. Therefore the Data type is personal and the category of data is "Expenses" and that should be captured in D.1.c and D.1.d</t>
        </r>
      </text>
    </comment>
    <comment ref="K31" authorId="0" shapeId="0" xr:uid="{E77D7870-C9A7-45F8-8CF8-163ADAE0F8A6}">
      <text>
        <r>
          <rPr>
            <b/>
            <sz val="9"/>
            <color indexed="81"/>
            <rFont val="Tahoma"/>
            <family val="2"/>
          </rPr>
          <t>Paper or Electronic:</t>
        </r>
        <r>
          <rPr>
            <sz val="9"/>
            <color indexed="81"/>
            <rFont val="Tahoma"/>
            <family val="2"/>
          </rPr>
          <t xml:space="preserve">
When onboarding a new employee, are there personal details collected only on a paper copy and then uploaded to the payroll system (either In House or via a 3rd party payroll system) or are they captured on a .pdf or other such electronic template? In other words an "un-structured" form?</t>
        </r>
      </text>
    </comment>
    <comment ref="K32" authorId="0" shapeId="0" xr:uid="{9C49E6D2-5340-4BB1-A1FA-2E282D529546}">
      <text>
        <r>
          <rPr>
            <b/>
            <sz val="9"/>
            <color indexed="81"/>
            <rFont val="Tahoma"/>
            <family val="2"/>
          </rPr>
          <t>Geographic storage location:</t>
        </r>
        <r>
          <rPr>
            <sz val="9"/>
            <color indexed="81"/>
            <rFont val="Tahoma"/>
            <family val="2"/>
          </rPr>
          <t xml:space="preserve">
Please note the framework refers to the EU as most users readily recognise those nations - the adequacy arrangements extend to the European Economic Area (EAA) which includes other nations such as Iceland, Liechtenstein and Norway. 
So if data is being processed in Iceland, for instance, still indicate UK/EU.
If the personal data is collected electronically and stored on a local server - then indicate the data is stored within the UK/EU
If the data is stored within the cloud, where are the cloud datacentres? Are they within the UK/EU or outside of the EU?
This is required for the Data Risk Register</t>
        </r>
      </text>
    </comment>
    <comment ref="K33" authorId="0" shapeId="0" xr:uid="{2B6C2CB4-41E9-4921-8897-8F4BB5169B50}">
      <text>
        <r>
          <rPr>
            <b/>
            <sz val="9"/>
            <color indexed="81"/>
            <rFont val="Tahoma"/>
            <family val="2"/>
          </rPr>
          <t>Special Category Data</t>
        </r>
        <r>
          <rPr>
            <sz val="9"/>
            <color indexed="81"/>
            <rFont val="Tahoma"/>
            <family val="2"/>
          </rPr>
          <t xml:space="preserve">
Depending on the data collected, this could be considered special category data as this refers to the employees health.</t>
        </r>
      </text>
    </comment>
    <comment ref="K34" authorId="0" shapeId="0" xr:uid="{1CC582B8-EAB3-406C-96A5-2A69936C3BCC}">
      <text>
        <r>
          <rPr>
            <b/>
            <sz val="9"/>
            <color indexed="81"/>
            <rFont val="Tahoma"/>
            <family val="2"/>
          </rPr>
          <t>Data Processing</t>
        </r>
        <r>
          <rPr>
            <sz val="9"/>
            <color indexed="81"/>
            <rFont val="Tahoma"/>
            <family val="2"/>
          </rPr>
          <t xml:space="preserve">
Personal Data can be processed in many different ways, responding to this question enters a new line in the Data Risk Register (DRR). Consider how data is processed and for each different purpose a corresponding line should be entered manually to the DRR.</t>
        </r>
      </text>
    </comment>
    <comment ref="K35" authorId="0" shapeId="0" xr:uid="{DF42DEA4-E1A4-4CD2-94F5-4C8D751FC043}">
      <text>
        <r>
          <rPr>
            <b/>
            <sz val="9"/>
            <color indexed="81"/>
            <rFont val="Tahoma"/>
            <family val="2"/>
          </rPr>
          <t>Local processing or cloud processing</t>
        </r>
        <r>
          <rPr>
            <sz val="9"/>
            <color indexed="81"/>
            <rFont val="Tahoma"/>
            <family val="2"/>
          </rPr>
          <t xml:space="preserve">
Similar to the un-structured file storage, where is the data processed? Is it a local application, it could be an Excel spreadsheet or is it a Software as a Service (Saas) application that is hosted in the cloud. If it is in the cloud, Geographically where is your personal data held within the UK/EU or outside?
If there are multiple applications that process the data, the Data Risk Register will need to be updated manually.</t>
        </r>
      </text>
    </comment>
    <comment ref="K36" authorId="0" shapeId="0" xr:uid="{36FFD1FF-5B16-426C-9A1C-5392534A24F4}">
      <text>
        <r>
          <rPr>
            <b/>
            <sz val="9"/>
            <color indexed="81"/>
            <rFont val="Tahoma"/>
            <family val="2"/>
          </rPr>
          <t>Security - Technical Controls</t>
        </r>
        <r>
          <rPr>
            <sz val="9"/>
            <color indexed="81"/>
            <rFont val="Tahoma"/>
            <family val="2"/>
          </rPr>
          <t xml:space="preserve">
You may have 2 or more controls to protect the data, and you can manually update the Data Risk Register once you have completed all the workflows, to reflect what you have.
An Access Control List (ACL) is where only those employees that require access to the data are granted permission, this is a list that is constantly reviewed and updated.
Multi Factor Authentication (MFA) is a second form of identification, it might be a code from your Microsoft or Google authenticator (for instance) - it provides stronger authentication than just a password.</t>
        </r>
      </text>
    </comment>
    <comment ref="K41" authorId="0" shapeId="0" xr:uid="{70424B4F-A906-48E3-ADBE-BFDE44A7A8DC}">
      <text>
        <r>
          <rPr>
            <b/>
            <sz val="9"/>
            <color indexed="81"/>
            <rFont val="Tahoma"/>
            <family val="2"/>
          </rPr>
          <t>Paper or Electronic:</t>
        </r>
        <r>
          <rPr>
            <sz val="9"/>
            <color indexed="81"/>
            <rFont val="Tahoma"/>
            <family val="2"/>
          </rPr>
          <t xml:space="preserve">
When onboarding a new employee, are there personal details collected only on a paper copy and then uploaded to the payroll system (either In House or via a 3rd party payroll system) or are they captured on a .pdf or other such electronic template? In other words an "un-structured" form?</t>
        </r>
      </text>
    </comment>
    <comment ref="K42" authorId="0" shapeId="0" xr:uid="{06B574DE-BA0C-4037-B9BA-CC92AD96FC37}">
      <text>
        <r>
          <rPr>
            <b/>
            <sz val="9"/>
            <color indexed="81"/>
            <rFont val="Tahoma"/>
            <family val="2"/>
          </rPr>
          <t>Paper or Electronic:</t>
        </r>
        <r>
          <rPr>
            <sz val="9"/>
            <color indexed="81"/>
            <rFont val="Tahoma"/>
            <family val="2"/>
          </rPr>
          <t xml:space="preserve">
Local storage, would either be a single PC or a server that the Charity shares (as appropriate) with other employees.
Cloud storage would be a file storage folder on OneDrive or SharePoint. Usually accessible, provided you have an internet connection, from anywhere in the world.</t>
        </r>
      </text>
    </comment>
    <comment ref="K48" authorId="0" shapeId="0" xr:uid="{8026CE3B-77DF-4D8C-8D7A-2047EB9E2BB6}">
      <text>
        <r>
          <rPr>
            <b/>
            <sz val="9"/>
            <color indexed="81"/>
            <rFont val="Tahoma"/>
            <family val="2"/>
          </rPr>
          <t>Paper or Electronic:</t>
        </r>
        <r>
          <rPr>
            <sz val="9"/>
            <color indexed="81"/>
            <rFont val="Tahoma"/>
            <family val="2"/>
          </rPr>
          <t xml:space="preserve">
When onboarding a new employee, are there personal details collected only on a paper copy and then uploaded to the payroll system (either In House or via a 3rd party payroll system) or are they captured on a .pdf or other such electronic template? In other words an "un-structured" form?</t>
        </r>
      </text>
    </comment>
    <comment ref="K49" authorId="0" shapeId="0" xr:uid="{FC8C5992-0517-42C1-8A4F-9CEF35ADB277}">
      <text>
        <r>
          <rPr>
            <b/>
            <sz val="9"/>
            <color indexed="81"/>
            <rFont val="Tahoma"/>
            <family val="2"/>
          </rPr>
          <t>Paper or Electronic:</t>
        </r>
        <r>
          <rPr>
            <sz val="9"/>
            <color indexed="81"/>
            <rFont val="Tahoma"/>
            <family val="2"/>
          </rPr>
          <t xml:space="preserve">
Local storage, would either be a single PC or a server that the Charity shares (as appropriate) with other employees.
Cloud storage would be a file storage folder on OneDrive or SharePoint. Usually accessible, provided you have an internet connection, from anywhere in the world.</t>
        </r>
      </text>
    </comment>
    <comment ref="K55" authorId="0" shapeId="0" xr:uid="{8998CABC-1876-4B33-A293-2F90A4D73CB2}">
      <text>
        <r>
          <rPr>
            <b/>
            <sz val="9"/>
            <color indexed="81"/>
            <rFont val="Tahoma"/>
            <family val="2"/>
          </rPr>
          <t>Paper or Electronic:</t>
        </r>
        <r>
          <rPr>
            <sz val="9"/>
            <color indexed="81"/>
            <rFont val="Tahoma"/>
            <family val="2"/>
          </rPr>
          <t xml:space="preserve">
When onboarding a new employee, are there personal details collected only on a paper copy and then uploaded to the payroll system (either In House or via a 3rd party payroll system) or are they captured on a .pdf or other such electronic template? In other words an "un-structured" form?</t>
        </r>
      </text>
    </comment>
    <comment ref="K56" authorId="0" shapeId="0" xr:uid="{5A413CE1-F0F1-4FFD-9476-1D54614CB25D}">
      <text>
        <r>
          <rPr>
            <b/>
            <sz val="9"/>
            <color indexed="81"/>
            <rFont val="Tahoma"/>
            <family val="2"/>
          </rPr>
          <t>Paper or Electronic:</t>
        </r>
        <r>
          <rPr>
            <sz val="9"/>
            <color indexed="81"/>
            <rFont val="Tahoma"/>
            <family val="2"/>
          </rPr>
          <t xml:space="preserve">
Local storage, would either be a single PC or a server that the Charity shares (as appropriate) with other employees.
Cloud storage would be a file storage folder on OneDrive or SharePoint. Usually accessible, provided you have an internet connection, from anywhere in the world.</t>
        </r>
      </text>
    </comment>
    <comment ref="K64" authorId="0" shapeId="0" xr:uid="{667A5CD5-B231-4E66-89FE-E79178C52FCC}">
      <text>
        <r>
          <rPr>
            <b/>
            <sz val="9"/>
            <color indexed="81"/>
            <rFont val="Tahoma"/>
            <family val="2"/>
          </rPr>
          <t>Paper or Electronic:</t>
        </r>
        <r>
          <rPr>
            <sz val="9"/>
            <color indexed="81"/>
            <rFont val="Tahoma"/>
            <family val="2"/>
          </rPr>
          <t xml:space="preserve">
When onboarding a new employee, are there personal details collected only on a paper copy and then uploaded to the payroll system (either In House or via a 3rd party payroll system) or are they captured on a .pdf or other such electronic template? In other words an "un-structured" form?</t>
        </r>
      </text>
    </comment>
    <comment ref="K65" authorId="0" shapeId="0" xr:uid="{6389E1E3-661D-4F2A-BED7-2CEE155E6FD9}">
      <text>
        <r>
          <rPr>
            <b/>
            <sz val="9"/>
            <color indexed="81"/>
            <rFont val="Tahoma"/>
            <family val="2"/>
          </rPr>
          <t>Paper or Electronic:</t>
        </r>
        <r>
          <rPr>
            <sz val="9"/>
            <color indexed="81"/>
            <rFont val="Tahoma"/>
            <family val="2"/>
          </rPr>
          <t xml:space="preserve">
Local storage, would either be a single PC or a server that the Charity shares (as appropriate) with other employees.
Cloud storage would be a file storage folder on OneDrive or SharePoint. Usually accessible, provided you have an internet connection, from anywhere in the world.</t>
        </r>
      </text>
    </comment>
    <comment ref="K70" authorId="0" shapeId="0" xr:uid="{85C3B12C-FBFB-4A43-AF12-B98465AA597B}">
      <text>
        <r>
          <rPr>
            <b/>
            <sz val="9"/>
            <color indexed="81"/>
            <rFont val="Tahoma"/>
            <family val="2"/>
          </rPr>
          <t>Paper or Electronic:</t>
        </r>
        <r>
          <rPr>
            <sz val="9"/>
            <color indexed="81"/>
            <rFont val="Tahoma"/>
            <family val="2"/>
          </rPr>
          <t xml:space="preserve">
When onboarding a new employee, are there personal details collected only on a paper copy and then uploaded to the payroll system (either In House or via a 3rd party payroll system) or are they captured on a .pdf or other such electronic template? In other words an "un-structured" form?</t>
        </r>
      </text>
    </comment>
    <comment ref="K71" authorId="0" shapeId="0" xr:uid="{C654D691-104A-4AE2-A06F-E99BE911B87A}">
      <text>
        <r>
          <rPr>
            <b/>
            <sz val="9"/>
            <color indexed="81"/>
            <rFont val="Tahoma"/>
            <family val="2"/>
          </rPr>
          <t>Paper or Electronic:</t>
        </r>
        <r>
          <rPr>
            <sz val="9"/>
            <color indexed="81"/>
            <rFont val="Tahoma"/>
            <family val="2"/>
          </rPr>
          <t xml:space="preserve">
Local storage, would either be a single PC or a server that the Charity shares (as appropriate) with other employees.
Cloud storage would be a file storage folder on OneDrive or SharePoint. Usually accessible, provided you have an internet connection, from anywhere in the world.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James Taylor</author>
  </authors>
  <commentList>
    <comment ref="A12" authorId="0" shapeId="0" xr:uid="{43E7FCE6-F019-4385-89FB-A70FD61872B6}">
      <text>
        <r>
          <rPr>
            <b/>
            <sz val="9"/>
            <color indexed="81"/>
            <rFont val="Tahoma"/>
            <family val="2"/>
          </rPr>
          <t xml:space="preserve">Date Fields
</t>
        </r>
        <r>
          <rPr>
            <sz val="9"/>
            <color indexed="81"/>
            <rFont val="Tahoma"/>
            <family val="2"/>
          </rPr>
          <t xml:space="preserve">You can ignore the error warning if you only want to view a polcy or procedure; however, if you are going to adopt a Policy or Procedure, the date fields will be used in the recommendations table that builds out based on all your previous responses
</t>
        </r>
      </text>
    </comment>
    <comment ref="A18" authorId="0" shapeId="0" xr:uid="{1AF5CDBD-F0C5-4E19-9F6D-4361706AF913}">
      <text>
        <r>
          <rPr>
            <b/>
            <sz val="9"/>
            <color indexed="81"/>
            <rFont val="Tahoma"/>
            <family val="2"/>
          </rPr>
          <t>NB:</t>
        </r>
        <r>
          <rPr>
            <sz val="9"/>
            <color indexed="81"/>
            <rFont val="Tahoma"/>
            <family val="2"/>
          </rPr>
          <t xml:space="preserve">
This is a dynamic page, the policies presented are those that a charity should consider as part of their documentation. By ticking a box, the relevant policy will be presented in the Policy and Procedure Templates drop down menu. 
Should there be a gap in the Charity's documentation, the Charity has 12 months to rectify. 
Therefore enter a data that the Charity can commit to implementing the changes as well as the date to train your staff - This must take place within 12 months of today's date
Actions and recommendations are then made on the Recommendations page.</t>
        </r>
      </text>
    </comment>
    <comment ref="L23" authorId="0" shapeId="0" xr:uid="{BEE0188A-C943-402A-B529-13501347DF1B}">
      <text>
        <r>
          <rPr>
            <b/>
            <sz val="9"/>
            <color indexed="81"/>
            <rFont val="Tahoma"/>
            <family val="2"/>
          </rPr>
          <t>Data Retention:</t>
        </r>
        <r>
          <rPr>
            <sz val="9"/>
            <color indexed="81"/>
            <rFont val="Tahoma"/>
            <family val="2"/>
          </rPr>
          <t xml:space="preserve">
A Data Retention Schedule is included in the Privacy Essentials! framework
You can jump there by clicking the </t>
        </r>
        <r>
          <rPr>
            <sz val="9"/>
            <color indexed="81"/>
            <rFont val="Webdings"/>
            <family val="1"/>
            <charset val="2"/>
          </rPr>
          <t>i</t>
        </r>
      </text>
    </comment>
    <comment ref="A38" authorId="0" shapeId="0" xr:uid="{BF871AD4-752E-42EE-B447-FB38C02FCFFC}">
      <text>
        <r>
          <rPr>
            <b/>
            <sz val="9"/>
            <color indexed="81"/>
            <rFont val="Tahoma"/>
            <family val="2"/>
          </rPr>
          <t>NB:</t>
        </r>
        <r>
          <rPr>
            <sz val="9"/>
            <color indexed="81"/>
            <rFont val="Tahoma"/>
            <family val="2"/>
          </rPr>
          <t xml:space="preserve">
This is a dynamic page, the procedures presented are those that a charity should consider as part of their documentation. By ticking a box, the relevant Procedure will be presented in the Policy and Procedure Templates drop down menu. 
Should there be a gap in the Charity's documentation, the Charity has 12 months to rectify. 
Therefore enter a data that the Charity can commit to implementing the changes as well as the date to train your staff - This must take place within 12 months of today's date
Actions and recommendations are then made on the Recommendations page.</t>
        </r>
      </text>
    </comment>
    <comment ref="F47" authorId="0" shapeId="0" xr:uid="{B1BD7C34-2C32-42EC-BD1D-5C150AA21E4E}">
      <text>
        <r>
          <rPr>
            <b/>
            <sz val="9"/>
            <color indexed="81"/>
            <rFont val="Tahoma"/>
            <family val="2"/>
          </rPr>
          <t xml:space="preserve">International Transfer of Personal Data:
</t>
        </r>
        <r>
          <rPr>
            <sz val="9"/>
            <color indexed="81"/>
            <rFont val="Tahoma"/>
            <family val="2"/>
          </rPr>
          <t xml:space="preserve">People risk losing the protection of the UK data protection laws if their personal data is transferred outside the UK.
On that basis, the UK GDPR contains rules about transfers of personal data to receivers located outside the UK. People’s rights about their personal data must be protected.
</t>
        </r>
      </text>
    </comment>
    <comment ref="A51" authorId="0" shapeId="0" xr:uid="{0C5E98F5-2FBE-4F9A-BA9B-6CFEEA6F659C}">
      <text>
        <r>
          <rPr>
            <b/>
            <sz val="9"/>
            <color indexed="81"/>
            <rFont val="Tahoma"/>
            <family val="2"/>
          </rPr>
          <t>NB:</t>
        </r>
        <r>
          <rPr>
            <sz val="9"/>
            <color indexed="81"/>
            <rFont val="Tahoma"/>
            <family val="2"/>
          </rPr>
          <t xml:space="preserve">
With any Special Category of Criminal Offence data, a DPIA should be completed.</t>
        </r>
      </text>
    </comment>
    <comment ref="A62" authorId="0" shapeId="0" xr:uid="{B2F68F06-8659-42A2-B063-38DC7D65E7D1}">
      <text>
        <r>
          <rPr>
            <b/>
            <sz val="9"/>
            <color indexed="81"/>
            <rFont val="Tahoma"/>
            <family val="2"/>
          </rPr>
          <t xml:space="preserve">P.4 Notes
</t>
        </r>
        <r>
          <rPr>
            <sz val="9"/>
            <color indexed="81"/>
            <rFont val="Tahoma"/>
            <family val="2"/>
          </rPr>
          <t>The spreadsheet dos not have any print area defined. To adopt or adapt the Policies and Procedures into your charity's documentation. Cut and Paste the suggested text into a word processor and produce copies as neccassary.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James Taylor</author>
  </authors>
  <commentList>
    <comment ref="M25" authorId="0" shapeId="0" xr:uid="{0FE07BD5-9781-49B8-947A-24477ED6FEE5}">
      <text>
        <r>
          <rPr>
            <b/>
            <sz val="9"/>
            <color indexed="81"/>
            <rFont val="Tahoma"/>
            <family val="2"/>
          </rPr>
          <t>DRR:</t>
        </r>
        <r>
          <rPr>
            <sz val="9"/>
            <color indexed="81"/>
            <rFont val="Tahoma"/>
            <family val="2"/>
          </rPr>
          <t xml:space="preserve">
Data Risk Register - all data is captured here and special category data is highlighted in red. This tab also satisfies most of Article 30, except for International processors - which can be added.</t>
        </r>
      </text>
    </comment>
    <comment ref="M28" authorId="0" shapeId="0" xr:uid="{B8D9886A-FD26-4348-BEE7-63B682A16104}">
      <text>
        <r>
          <rPr>
            <b/>
            <sz val="9"/>
            <color indexed="81"/>
            <rFont val="Tahoma"/>
            <family val="2"/>
          </rPr>
          <t>Privacy Policy:</t>
        </r>
        <r>
          <rPr>
            <sz val="9"/>
            <color indexed="81"/>
            <rFont val="Tahoma"/>
            <family val="2"/>
          </rPr>
          <t xml:space="preserve">
Special Category data is specified in the privacy policy within the Policy &amp; Procedures tab</t>
        </r>
      </text>
    </comment>
    <comment ref="M32" authorId="0" shapeId="0" xr:uid="{DCAC02A7-F035-4BCD-8F2A-3D9150482954}">
      <text>
        <r>
          <rPr>
            <b/>
            <sz val="9"/>
            <color indexed="81"/>
            <rFont val="Tahoma"/>
            <family val="2"/>
          </rPr>
          <t>DPO:</t>
        </r>
        <r>
          <rPr>
            <sz val="9"/>
            <color indexed="81"/>
            <rFont val="Tahoma"/>
            <family val="2"/>
          </rPr>
          <t xml:space="preserve">
Data Protection Officer - usually automatically appointed if you are a public authority or do high levels of personal processing
</t>
        </r>
      </text>
    </comment>
    <comment ref="A41" authorId="0" shapeId="0" xr:uid="{2E5BD151-4A36-4E0F-83D8-09AFB2783F2C}">
      <text>
        <r>
          <rPr>
            <b/>
            <sz val="9"/>
            <color indexed="81"/>
            <rFont val="Tahoma"/>
            <family val="2"/>
          </rPr>
          <t xml:space="preserve">Notes:
</t>
        </r>
        <r>
          <rPr>
            <sz val="9"/>
            <color indexed="81"/>
            <rFont val="Tahoma"/>
            <family val="2"/>
          </rPr>
          <t>Give a brief description of each category of SC/CO data processed. You may wish to refer to your Article 30 record of processing for that particular data</t>
        </r>
      </text>
    </comment>
    <comment ref="A49" authorId="0" shapeId="0" xr:uid="{A60EDCCA-F2B1-47E8-83ED-49181D7CCF05}">
      <text>
        <r>
          <rPr>
            <b/>
            <sz val="9"/>
            <color indexed="81"/>
            <rFont val="Tahoma"/>
            <family val="2"/>
          </rPr>
          <t xml:space="preserve">Notes:
</t>
        </r>
        <r>
          <rPr>
            <sz val="9"/>
            <color indexed="81"/>
            <rFont val="Tahoma"/>
            <family val="2"/>
          </rPr>
          <t>Give a brief description of each category of SC/CO data processed. You may wish to refer to your Article 30 record of processing for that particular data:</t>
        </r>
      </text>
    </comment>
    <comment ref="A110" authorId="0" shapeId="0" xr:uid="{ED50BAEA-CF4C-4BD3-926D-CC9A3B480A45}">
      <text>
        <r>
          <rPr>
            <b/>
            <sz val="9"/>
            <color indexed="81"/>
            <rFont val="Tahoma"/>
            <family val="2"/>
          </rPr>
          <t xml:space="preserve">Notes:
</t>
        </r>
        <r>
          <rPr>
            <sz val="9"/>
            <color indexed="81"/>
            <rFont val="Tahoma"/>
            <family val="2"/>
          </rPr>
          <t>You need to explain your retention and erasure policies with respect to each category of SC/CO data (this could include a link to your retention policy if you have one). You need to explicitly indicate how long you are likely to retain each specific category of SC/CO data.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James Taylor</author>
  </authors>
  <commentList>
    <comment ref="M13" authorId="0" shapeId="0" xr:uid="{78B0E552-489C-43BF-990E-84367CD60732}">
      <text>
        <r>
          <rPr>
            <b/>
            <sz val="9"/>
            <color indexed="81"/>
            <rFont val="Tahoma"/>
            <family val="2"/>
          </rPr>
          <t>Initials:</t>
        </r>
        <r>
          <rPr>
            <sz val="9"/>
            <color indexed="81"/>
            <rFont val="Tahoma"/>
            <family val="2"/>
          </rPr>
          <t xml:space="preserve">
And the Initials of the person responsible for implementing the actions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James Taylor</author>
  </authors>
  <commentList>
    <comment ref="F9" authorId="0" shapeId="0" xr:uid="{62DE001B-C19C-4BBC-B148-CC3AD5624291}">
      <text>
        <r>
          <rPr>
            <b/>
            <sz val="9"/>
            <color indexed="81"/>
            <rFont val="Tahoma"/>
            <family val="2"/>
          </rPr>
          <t>Classification:</t>
        </r>
        <r>
          <rPr>
            <sz val="9"/>
            <color indexed="81"/>
            <rFont val="Tahoma"/>
            <family val="2"/>
          </rPr>
          <t xml:space="preserve">
These are the data classifiers specified at the beginning of the Privacy Essentials! tool</t>
        </r>
      </text>
    </comment>
    <comment ref="M9" authorId="0" shapeId="0" xr:uid="{2C13611E-AEAC-4C19-9242-31A9327CE5AE}">
      <text>
        <r>
          <rPr>
            <b/>
            <sz val="9"/>
            <color indexed="81"/>
            <rFont val="Tahoma"/>
            <family val="2"/>
          </rPr>
          <t>International Transfers:</t>
        </r>
        <r>
          <rPr>
            <sz val="9"/>
            <color indexed="81"/>
            <rFont val="Tahoma"/>
            <family val="2"/>
          </rPr>
          <t xml:space="preserve">
People risk losing the protection of the UK data protection laws if their personal data is transferred outside the UK.
On that basis, the UK GDPR contains rules about transfers of personal data to receivers located outside the UK. People’s rights about their personal data must be protected.
The UK GDPR contains rules on the transfer of personal data to receivers located outside the UK, which are separate controllers or processors and legally distinct from you. These rules apply to all transfers, no matter the size of transfer or how often you carry them out</t>
        </r>
      </text>
    </comment>
    <comment ref="P9" authorId="0" shapeId="0" xr:uid="{2EBB9D29-5BD2-4E03-BC5D-57644BF5AADF}">
      <text>
        <r>
          <rPr>
            <b/>
            <sz val="9"/>
            <color indexed="81"/>
            <rFont val="Tahoma"/>
            <family val="2"/>
          </rPr>
          <t xml:space="preserve">Security Control:
</t>
        </r>
        <r>
          <rPr>
            <sz val="9"/>
            <color indexed="81"/>
            <rFont val="Tahoma"/>
            <family val="2"/>
          </rPr>
          <t xml:space="preserve">As per the above instruction, select those technical controls that assure the security of the personal data.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James Taylor</author>
  </authors>
  <commentList>
    <comment ref="A13" authorId="0" shapeId="0" xr:uid="{17EAD157-FFA4-4B05-AEA1-FAB0203C2E5F}">
      <text>
        <r>
          <rPr>
            <b/>
            <sz val="9"/>
            <color indexed="81"/>
            <rFont val="Tahoma"/>
            <family val="2"/>
          </rPr>
          <t>Accident books, accident records/reports:</t>
        </r>
        <r>
          <rPr>
            <sz val="9"/>
            <color indexed="81"/>
            <rFont val="Tahoma"/>
            <family val="2"/>
          </rPr>
          <t xml:space="preserve">
Statutory retention period: 3 years from the last entry (or until any younger person involved in the accident reaches 21).
See: (RIDDOR) (SI 1995/3163) as amended, and Limitation Act 1980. </t>
        </r>
      </text>
    </comment>
    <comment ref="A14" authorId="0" shapeId="0" xr:uid="{45769C03-B812-426A-8A0D-15EBD0AEC12F}">
      <text>
        <r>
          <rPr>
            <b/>
            <sz val="9"/>
            <color indexed="81"/>
            <rFont val="Tahoma"/>
            <family val="2"/>
          </rPr>
          <t>Accounting records:</t>
        </r>
        <r>
          <rPr>
            <sz val="9"/>
            <color indexed="81"/>
            <rFont val="Tahoma"/>
            <family val="2"/>
          </rPr>
          <t xml:space="preserve">
Statutory retention period: 3 years for private companies, 6 years for public limited companies.
See: Section 221 of the Companies Act 1985 as modified by the Companies Acts 1989 and 2006.</t>
        </r>
      </text>
    </comment>
    <comment ref="A16" authorId="0" shapeId="0" xr:uid="{25230D41-2DC2-409E-97D0-965D6C85AAAD}">
      <text>
        <r>
          <rPr>
            <b/>
            <sz val="9"/>
            <color indexed="81"/>
            <rFont val="Tahoma"/>
            <family val="2"/>
          </rPr>
          <t>First aid training:</t>
        </r>
        <r>
          <rPr>
            <sz val="9"/>
            <color indexed="81"/>
            <rFont val="Tahoma"/>
            <family val="2"/>
          </rPr>
          <t xml:space="preserve">
Statutory retention period: 6 years after employment.
See: Health and Safety (First Aid) Regulations 1981.</t>
        </r>
      </text>
    </comment>
    <comment ref="A17" authorId="0" shapeId="0" xr:uid="{3B79C2B7-729B-4677-AA57-0A6964883742}">
      <text>
        <r>
          <rPr>
            <b/>
            <sz val="9"/>
            <color indexed="81"/>
            <rFont val="Tahoma"/>
            <family val="2"/>
          </rPr>
          <t>Fire warden training:</t>
        </r>
        <r>
          <rPr>
            <sz val="9"/>
            <color indexed="81"/>
            <rFont val="Tahoma"/>
            <family val="2"/>
          </rPr>
          <t xml:space="preserve">
Statutory retention period: 6 years after employment.
See: Fire Precautions (Workplace) Regulations 1997.</t>
        </r>
      </text>
    </comment>
    <comment ref="A18" authorId="0" shapeId="0" xr:uid="{360615E4-0773-4C46-B401-29CFA7A4CF48}">
      <text>
        <r>
          <rPr>
            <b/>
            <sz val="9"/>
            <color indexed="81"/>
            <rFont val="Tahoma"/>
            <family val="2"/>
          </rPr>
          <t>Health and Safety representatives and employees’ training:</t>
        </r>
        <r>
          <rPr>
            <sz val="9"/>
            <color indexed="81"/>
            <rFont val="Tahoma"/>
            <family val="2"/>
          </rPr>
          <t xml:space="preserve">
Statutory retention period: 5 years after employment.
See: Health and Safety (Consultation) Regulations 1996; Health and Safety Information for Employees Regulations 1989.</t>
        </r>
      </text>
    </comment>
    <comment ref="A19" authorId="0" shapeId="0" xr:uid="{815BB443-E1B9-4BB7-B9E0-39D13E8E3202}">
      <text>
        <r>
          <rPr>
            <b/>
            <sz val="9"/>
            <color indexed="81"/>
            <rFont val="Tahoma"/>
            <family val="2"/>
          </rPr>
          <t xml:space="preserve">Income tax and NI returns, income tax records and correspondence with HMRC
</t>
        </r>
        <r>
          <rPr>
            <sz val="9"/>
            <color indexed="81"/>
            <rFont val="Tahoma"/>
            <family val="2"/>
          </rPr>
          <t xml:space="preserve">Statutory retention period: Not less than 3 years after the end of the relevant financial year.
See: The Income Tax (Employments) Regulations 1993 (SI 1993/744) as amended.
</t>
        </r>
      </text>
    </comment>
    <comment ref="A20" authorId="0" shapeId="0" xr:uid="{D8AF3EB1-B8C5-4AC2-9C6E-ED1C8B198F3D}">
      <text>
        <r>
          <rPr>
            <b/>
            <sz val="9"/>
            <color indexed="81"/>
            <rFont val="Tahoma"/>
            <family val="2"/>
          </rPr>
          <t xml:space="preserve">National minimum wage records
</t>
        </r>
        <r>
          <rPr>
            <sz val="9"/>
            <color indexed="81"/>
            <rFont val="Tahoma"/>
            <family val="2"/>
          </rPr>
          <t>Statutory retention period: 3 years after the end of the pay reference period following the one that the records cover.
See: National Minimum Wage Act 1998.</t>
        </r>
        <r>
          <rPr>
            <b/>
            <sz val="9"/>
            <color indexed="81"/>
            <rFont val="Tahoma"/>
            <family val="2"/>
          </rPr>
          <t xml:space="preserve">
</t>
        </r>
      </text>
    </comment>
    <comment ref="A21" authorId="0" shapeId="0" xr:uid="{956CA149-134B-48D6-8E17-1CE1F2811C8D}">
      <text>
        <r>
          <rPr>
            <b/>
            <sz val="9"/>
            <color indexed="81"/>
            <rFont val="Tahoma"/>
            <family val="2"/>
          </rPr>
          <t xml:space="preserve">Payroll wage/salary records (also overtime, bonuses, expenses):
</t>
        </r>
        <r>
          <rPr>
            <sz val="9"/>
            <color indexed="81"/>
            <rFont val="Tahoma"/>
            <family val="2"/>
          </rPr>
          <t xml:space="preserve">Statutory retention period: 6 years from the end of the tax year to which they relate.
See: Taxes Management Act 1970.
</t>
        </r>
      </text>
    </comment>
    <comment ref="A22" authorId="0" shapeId="0" xr:uid="{6529DB2B-2601-4260-8AAE-8845F097B799}">
      <text>
        <r>
          <rPr>
            <b/>
            <sz val="9"/>
            <color indexed="81"/>
            <rFont val="Tahoma"/>
            <family val="2"/>
          </rPr>
          <t xml:space="preserve">Records relating to children and young adults
</t>
        </r>
        <r>
          <rPr>
            <sz val="9"/>
            <color indexed="81"/>
            <rFont val="Tahoma"/>
            <family val="2"/>
          </rPr>
          <t>Statutory retention period: until the child/young adult reaches the age of 21.
See: Limitation Act 1980.</t>
        </r>
        <r>
          <rPr>
            <b/>
            <sz val="9"/>
            <color indexed="81"/>
            <rFont val="Tahoma"/>
            <family val="2"/>
          </rPr>
          <t xml:space="preserve">
</t>
        </r>
      </text>
    </comment>
    <comment ref="A23" authorId="0" shapeId="0" xr:uid="{CBA0F1BA-EF97-4E53-9964-E16098D6060C}">
      <text>
        <r>
          <rPr>
            <b/>
            <sz val="9"/>
            <color indexed="81"/>
            <rFont val="Tahoma"/>
            <family val="2"/>
          </rPr>
          <t xml:space="preserve">Retirement Benefits Schemes: 
</t>
        </r>
        <r>
          <rPr>
            <sz val="9"/>
            <color indexed="81"/>
            <rFont val="Tahoma"/>
            <family val="2"/>
          </rPr>
          <t>Statutory retention period: 6 years from the end of the scheme year in which the event took place.
See: The Retirement Benefits Schemes (Information Powers) Regulations 1995 (SI 1995/3103)</t>
        </r>
        <r>
          <rPr>
            <b/>
            <sz val="9"/>
            <color indexed="81"/>
            <rFont val="Tahoma"/>
            <family val="2"/>
          </rPr>
          <t xml:space="preserve">
</t>
        </r>
      </text>
    </comment>
    <comment ref="A24" authorId="0" shapeId="0" xr:uid="{3ACD2DF7-143F-4D3E-A943-5FA1FCB8482A}">
      <text>
        <r>
          <rPr>
            <b/>
            <sz val="9"/>
            <color indexed="81"/>
            <rFont val="Tahoma"/>
            <family val="2"/>
          </rPr>
          <t xml:space="preserve">Statutory Maternity Pay records including Mat B1s (also shared parental, paternity and adoption pay records):
</t>
        </r>
        <r>
          <rPr>
            <sz val="9"/>
            <color indexed="81"/>
            <rFont val="Tahoma"/>
            <family val="2"/>
          </rPr>
          <t>Statutory retention period: 3 years after the end of the tax year in which the maternity period ends.
See: The Statutory Maternity Pay (General) Regulations 1986 (SI 1986/1960) as amended, Maternity &amp; Parental Leave Regulations 1999.</t>
        </r>
        <r>
          <rPr>
            <b/>
            <sz val="9"/>
            <color indexed="81"/>
            <rFont val="Tahoma"/>
            <family val="2"/>
          </rPr>
          <t xml:space="preserve">
</t>
        </r>
      </text>
    </comment>
    <comment ref="A25" authorId="0" shapeId="0" xr:uid="{1D8ACD2C-3665-4B05-B235-247BA549EF17}">
      <text>
        <r>
          <rPr>
            <b/>
            <sz val="9"/>
            <color indexed="81"/>
            <rFont val="Tahoma"/>
            <family val="2"/>
          </rPr>
          <t xml:space="preserve">Subject access request:
</t>
        </r>
        <r>
          <rPr>
            <sz val="9"/>
            <color indexed="81"/>
            <rFont val="Tahoma"/>
            <family val="2"/>
          </rPr>
          <t>Statutory retention period: 1 year following completion of the request. 
See: Data Protection Act 2018.</t>
        </r>
        <r>
          <rPr>
            <b/>
            <sz val="9"/>
            <color indexed="81"/>
            <rFont val="Tahoma"/>
            <family val="2"/>
          </rPr>
          <t xml:space="preserve">
</t>
        </r>
      </text>
    </comment>
    <comment ref="A26" authorId="0" shapeId="0" xr:uid="{09C51203-02D7-4969-A083-FF4807B717CD}">
      <text>
        <r>
          <rPr>
            <b/>
            <sz val="9"/>
            <color indexed="81"/>
            <rFont val="Tahoma"/>
            <family val="2"/>
          </rPr>
          <t xml:space="preserve">VAT deferral (COVID-19): 
</t>
        </r>
        <r>
          <rPr>
            <sz val="9"/>
            <color indexed="81"/>
            <rFont val="Tahoma"/>
            <family val="2"/>
          </rPr>
          <t>Statutory retention period: 6 years. 
See: HMRC VAT deferral guidance.</t>
        </r>
        <r>
          <rPr>
            <b/>
            <sz val="9"/>
            <color indexed="81"/>
            <rFont val="Tahoma"/>
            <family val="2"/>
          </rPr>
          <t xml:space="preserve">
</t>
        </r>
      </text>
    </comment>
    <comment ref="A27" authorId="0" shapeId="0" xr:uid="{55C219A1-6EB4-46AF-B384-23DF1D6918FB}">
      <text>
        <r>
          <rPr>
            <b/>
            <sz val="9"/>
            <color indexed="81"/>
            <rFont val="Tahoma"/>
            <family val="2"/>
          </rPr>
          <t xml:space="preserve">Whistleblowing documents:
</t>
        </r>
        <r>
          <rPr>
            <sz val="9"/>
            <color indexed="81"/>
            <rFont val="Tahoma"/>
            <family val="2"/>
          </rPr>
          <t>Statutory retention period: 6 months following the outcome (if a substantiated investigation). If unsubstantiated, personal data should be removed immediately.
See: Public Interest Disclosure Act 1998 and recommended IAPP practice.</t>
        </r>
        <r>
          <rPr>
            <b/>
            <sz val="9"/>
            <color indexed="81"/>
            <rFont val="Tahoma"/>
            <family val="2"/>
          </rPr>
          <t xml:space="preserve">
</t>
        </r>
      </text>
    </comment>
    <comment ref="A28" authorId="0" shapeId="0" xr:uid="{D16EFAB4-66F9-4FC3-AF20-8FA1867519AC}">
      <text>
        <r>
          <rPr>
            <b/>
            <sz val="9"/>
            <color indexed="81"/>
            <rFont val="Tahoma"/>
            <family val="2"/>
          </rPr>
          <t xml:space="preserve">Working time records including overtime, annual holiday, time off for dependents, etc:
</t>
        </r>
        <r>
          <rPr>
            <sz val="9"/>
            <color indexed="81"/>
            <rFont val="Tahoma"/>
            <family val="2"/>
          </rPr>
          <t>Statutory retention period: 2 years from date on which they were made.
See: The Working Time Regulations 1998 (SI 1998/1833).</t>
        </r>
        <r>
          <rPr>
            <b/>
            <sz val="9"/>
            <color indexed="81"/>
            <rFont val="Tahoma"/>
            <family val="2"/>
          </rPr>
          <t xml:space="preserve">
</t>
        </r>
      </text>
    </comment>
    <comment ref="A36" authorId="0" shapeId="0" xr:uid="{263974BA-1D1C-40C8-AFE6-88CB95594803}">
      <text>
        <r>
          <rPr>
            <b/>
            <sz val="9"/>
            <color indexed="81"/>
            <rFont val="Tahoma"/>
            <family val="2"/>
          </rPr>
          <t xml:space="preserve">Recommended period: </t>
        </r>
        <r>
          <rPr>
            <sz val="9"/>
            <color indexed="81"/>
            <rFont val="Tahoma"/>
            <family val="2"/>
          </rPr>
          <t>The Statutory Sick Pay (Maintenance of Records) (Revocation) Regulations 2014 (SI 2014/55) abolished the former obligation to keep these records. Although there is no longer a specific statutory retention period, employers must keep sickness records to best suit their business needs. Six months after the end of the period of sick leave is sensible in case of a disability discrimination claim. For personal injury claims, the limitation is 3 years. If there's a contractual claim for breach of an employment contract then keep records for 6 years after the employment ceases. Employers should keep a record of SSP paid due to COVID-19 as HMRC may request records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James Taylor</author>
  </authors>
  <commentList>
    <comment ref="I139" authorId="0" shapeId="0" xr:uid="{CBD8CB9F-8044-4A63-AA90-50969FE22FF1}">
      <text>
        <r>
          <rPr>
            <sz val="9"/>
            <color indexed="81"/>
            <rFont val="Tahoma"/>
            <family val="2"/>
          </rPr>
          <t xml:space="preserve">Integrate actions back into project plan, with date and responsibility for completion
</t>
        </r>
      </text>
    </comment>
    <comment ref="I141" authorId="0" shapeId="0" xr:uid="{0FC1E38B-8271-4802-982C-311AC4718B95}">
      <text>
        <r>
          <rPr>
            <sz val="9"/>
            <color indexed="81"/>
            <rFont val="Tahoma"/>
            <family val="2"/>
          </rPr>
          <t xml:space="preserve">If accepting any residual high risk, consult the ICO before going ahead
</t>
        </r>
      </text>
    </comment>
    <comment ref="I143" authorId="0" shapeId="0" xr:uid="{E8C9BBD6-442C-480C-85BD-A15047A3F8F8}">
      <text>
        <r>
          <rPr>
            <sz val="9"/>
            <color indexed="81"/>
            <rFont val="Tahoma"/>
            <family val="2"/>
          </rPr>
          <t xml:space="preserve">DPO should advise on compliance, step 6 measures and whether processing can proceed
</t>
        </r>
      </text>
    </comment>
    <comment ref="A152" authorId="0" shapeId="0" xr:uid="{C015238A-195B-4566-840C-ABB10EC54B1D}">
      <text>
        <r>
          <rPr>
            <sz val="9"/>
            <color indexed="81"/>
            <rFont val="Tahoma"/>
            <family val="2"/>
          </rPr>
          <t xml:space="preserve">If overruled, you must explain your reasons
</t>
        </r>
      </text>
    </comment>
    <comment ref="A159" authorId="0" shapeId="0" xr:uid="{DB7A2630-FD85-4435-8F8E-F45BEEFEA101}">
      <text>
        <r>
          <rPr>
            <sz val="9"/>
            <color indexed="81"/>
            <rFont val="Tahoma"/>
            <family val="2"/>
          </rPr>
          <t xml:space="preserve">If your decision departs from individuals’ views, you must explain your reasons
</t>
        </r>
      </text>
    </comment>
    <comment ref="I166" authorId="0" shapeId="0" xr:uid="{CB6F9000-397F-498A-8A00-95683C704D6E}">
      <text>
        <r>
          <rPr>
            <sz val="9"/>
            <color indexed="81"/>
            <rFont val="Tahoma"/>
            <family val="2"/>
          </rPr>
          <t xml:space="preserve">The DPO should also review ongoing compliance with DPIA
</t>
        </r>
      </text>
    </comment>
  </commentList>
</comments>
</file>

<file path=xl/sharedStrings.xml><?xml version="1.0" encoding="utf-8"?>
<sst xmlns="http://schemas.openxmlformats.org/spreadsheetml/2006/main" count="1874" uniqueCount="874">
  <si>
    <t>Introduction</t>
  </si>
  <si>
    <t>Instructions</t>
  </si>
  <si>
    <t>Limitations and Caution</t>
  </si>
  <si>
    <t>Work sequentially with the tabs across the entire spreadsheet. This is a customised workbook based on earlier responses</t>
  </si>
  <si>
    <t>i</t>
  </si>
  <si>
    <t>ü</t>
  </si>
  <si>
    <t>Jargon Buster</t>
  </si>
  <si>
    <t>DPA 2018</t>
  </si>
  <si>
    <t>Hyperlinks</t>
  </si>
  <si>
    <r>
      <t xml:space="preserve">More information is available by hovering over </t>
    </r>
    <r>
      <rPr>
        <sz val="11"/>
        <color theme="1"/>
        <rFont val="Webdings"/>
        <family val="1"/>
        <charset val="2"/>
      </rPr>
      <t>i</t>
    </r>
    <r>
      <rPr>
        <sz val="11"/>
        <color theme="1"/>
        <rFont val="Calibri"/>
        <family val="2"/>
        <scheme val="minor"/>
      </rPr>
      <t>, try it here:</t>
    </r>
  </si>
  <si>
    <r>
      <t xml:space="preserve">Anything in </t>
    </r>
    <r>
      <rPr>
        <b/>
        <sz val="11"/>
        <color rgb="FF7030A0"/>
        <rFont val="Calibri"/>
        <family val="2"/>
        <scheme val="minor"/>
      </rPr>
      <t>Blue</t>
    </r>
    <r>
      <rPr>
        <sz val="11"/>
        <color theme="1"/>
        <rFont val="Calibri"/>
        <family val="2"/>
        <scheme val="minor"/>
      </rPr>
      <t xml:space="preserve"> is intended for the user to interact.</t>
    </r>
  </si>
  <si>
    <t>There is no exhaustive list of terms and conditions, rather best intentions are offered using the latest available information at the time of publication</t>
  </si>
  <si>
    <r>
      <t xml:space="preserve">To return to this page press the home button at the top of each worksheet </t>
    </r>
    <r>
      <rPr>
        <sz val="11"/>
        <color rgb="FF7030A0"/>
        <rFont val="Calibri"/>
        <family val="2"/>
        <scheme val="minor"/>
      </rPr>
      <t>⌂</t>
    </r>
  </si>
  <si>
    <t>Does the Charity have employees?</t>
  </si>
  <si>
    <t>Please Select:</t>
  </si>
  <si>
    <t>Health Conditions that may affect work:</t>
  </si>
  <si>
    <t>Disclosure &amp; Barring Service (DBS) records:</t>
  </si>
  <si>
    <t>Skills or qualifications:</t>
  </si>
  <si>
    <t>Employee contact details?</t>
  </si>
  <si>
    <t>Reference contact details:</t>
  </si>
  <si>
    <t>Equality, diversity information:</t>
  </si>
  <si>
    <t>Emergency contact details:</t>
  </si>
  <si>
    <t>Date of Birth:</t>
  </si>
  <si>
    <t>Right to work verification:</t>
  </si>
  <si>
    <t>Does the Charity offer a pension programme for employees?</t>
  </si>
  <si>
    <t>Payroll details:</t>
  </si>
  <si>
    <t>Only collect the minimum personal information that is necessary for the intended purpose.</t>
  </si>
  <si>
    <t>Only retain personal information for the intended purpose.</t>
  </si>
  <si>
    <t>Ensure that the personal information being processed is accurate and up to date.</t>
  </si>
  <si>
    <t>Once the intended purpose is completed, dispose of all copies of the personal information held for that purpose.</t>
  </si>
  <si>
    <t>Ensure that any temporary files created by processing that include personal information are deleted as soon as possible.</t>
  </si>
  <si>
    <t>Ensure that the integrity of any personal information sent to another organisation is protected.</t>
  </si>
  <si>
    <t>Volunteer contact details?</t>
  </si>
  <si>
    <t>DAWorkings Page</t>
  </si>
  <si>
    <t>Please tick those data fields the charity collects for employees:</t>
  </si>
  <si>
    <t>Registered Charity number:</t>
  </si>
  <si>
    <t>Charity Name</t>
  </si>
  <si>
    <t>Charity Number</t>
  </si>
  <si>
    <t>From Privacy Essentials Introduction</t>
  </si>
  <si>
    <t>Availability:</t>
  </si>
  <si>
    <t>Does the Charity have beneficiaries?</t>
  </si>
  <si>
    <t>Beneficiary contact details?</t>
  </si>
  <si>
    <t>Resume / CV:</t>
  </si>
  <si>
    <t>Parent or guardian contact details:</t>
  </si>
  <si>
    <t>Consent of parent or guardian if beneficiary is a child:</t>
  </si>
  <si>
    <t>Treatment Records:</t>
  </si>
  <si>
    <t>Other data, consider the most sensitive if more than one:</t>
  </si>
  <si>
    <t>Registered Charity name:</t>
  </si>
  <si>
    <t>Logic test on True False</t>
  </si>
  <si>
    <t>Logic Test on Please Select</t>
  </si>
  <si>
    <t>Error Code to show:</t>
  </si>
  <si>
    <t>Date of birth:</t>
  </si>
  <si>
    <t>Days or hours available to volunteer:</t>
  </si>
  <si>
    <t>Please select those data fields the charity collects for Volunteers:</t>
  </si>
  <si>
    <t>Please select those data fields the charity collects for beneficiaries:</t>
  </si>
  <si>
    <t>Is payroll processed in-house or outsourced to a 3rd party?</t>
  </si>
  <si>
    <t>Does the Charity have volunteers?</t>
  </si>
  <si>
    <t>Health conditions, medication plan, surgery:</t>
  </si>
  <si>
    <t>From the Data Collection Page - Employee</t>
  </si>
  <si>
    <t>From the Data Collection Page - Volunteer</t>
  </si>
  <si>
    <t>From the Data Collection Page - Beneficiary</t>
  </si>
  <si>
    <t>Ref.</t>
  </si>
  <si>
    <t>Does the Charity have donors?</t>
  </si>
  <si>
    <t>Please select those data fields the charity collects for donors:</t>
  </si>
  <si>
    <t>Donor contact details?</t>
  </si>
  <si>
    <t>Donor marketing consent:</t>
  </si>
  <si>
    <t>Gift aid consent:</t>
  </si>
  <si>
    <t>Does the charity use direct debit mandates?</t>
  </si>
  <si>
    <t>Is gift aid processed in house or through a third party?</t>
  </si>
  <si>
    <t>Health conditions that may affect work:</t>
  </si>
  <si>
    <t>Does the charity accept debit or credit card donations?</t>
  </si>
  <si>
    <t>Does the charity promote legacy will writing services?</t>
  </si>
  <si>
    <t>Does the Charity have practitioners?</t>
  </si>
  <si>
    <t>Please select those data fields the charity collects for Practitioners:</t>
  </si>
  <si>
    <t>Practitioner contact details?</t>
  </si>
  <si>
    <t>Practitioner banking / accounting details?</t>
  </si>
  <si>
    <t>Does the practitioner retain copies of treatment records (see notes):</t>
  </si>
  <si>
    <t>Liability insurance verified</t>
  </si>
  <si>
    <t>Is the practitioner DPA 2018 compliant</t>
  </si>
  <si>
    <t>From the Data Collection Page - Practitioner</t>
  </si>
  <si>
    <t>Liability or professional indemnity insurance verified</t>
  </si>
  <si>
    <t>Please select those data fields the charity collects for trustees:</t>
  </si>
  <si>
    <t>Trustee contact details?</t>
  </si>
  <si>
    <t>Does the Charity actively promote itself via marketing activities?</t>
  </si>
  <si>
    <t>Please select those data fields the charity collects for recipients:</t>
  </si>
  <si>
    <t>Verifies proof of trustee eligibility</t>
  </si>
  <si>
    <t>From the Data Collection Page - Trustee</t>
  </si>
  <si>
    <t>Marketing consent:</t>
  </si>
  <si>
    <t>Verified proof of trustee eligibility</t>
  </si>
  <si>
    <t>Recipient contact details?</t>
  </si>
  <si>
    <t>From the Data Collection Page - Donor</t>
  </si>
  <si>
    <t>From the Data Collection Page - Marketing consent</t>
  </si>
  <si>
    <t xml:space="preserve">No error check presented - all charities must have </t>
  </si>
  <si>
    <t>a trustee appointed.</t>
  </si>
  <si>
    <t>PCI</t>
  </si>
  <si>
    <t>Data Category Warnings</t>
  </si>
  <si>
    <t>PECR</t>
  </si>
  <si>
    <t>PCI Statement Needed?</t>
  </si>
  <si>
    <t>PCI Statement:</t>
  </si>
  <si>
    <t>Special Cats</t>
  </si>
  <si>
    <t>N/A</t>
  </si>
  <si>
    <t>PECR Statement needed:</t>
  </si>
  <si>
    <t>Special Cat needed?</t>
  </si>
  <si>
    <t>SC</t>
  </si>
  <si>
    <t>SC Statement:</t>
  </si>
  <si>
    <t>String builder:</t>
  </si>
  <si>
    <t>Comma check</t>
  </si>
  <si>
    <t>Fix String</t>
  </si>
  <si>
    <t>Plural Response?</t>
  </si>
  <si>
    <t>PECR Statement:</t>
  </si>
  <si>
    <t>Assumptions Builder:</t>
  </si>
  <si>
    <t>How does the Charity collect and record data for trustees?</t>
  </si>
  <si>
    <t>Electronically</t>
  </si>
  <si>
    <t>Is Trustee data processed by a 3rd party (see notes)?</t>
  </si>
  <si>
    <t>From the Workflow Page - Employee</t>
  </si>
  <si>
    <t>Does the charity offer legacy will writing services?</t>
  </si>
  <si>
    <t>No Employee test:</t>
  </si>
  <si>
    <t>Complete Statement</t>
  </si>
  <si>
    <t>Complete?</t>
  </si>
  <si>
    <t>Data Risk Register</t>
  </si>
  <si>
    <t>Employee</t>
  </si>
  <si>
    <t>All Sections Answered?</t>
  </si>
  <si>
    <t>Data Category</t>
  </si>
  <si>
    <t>Classification</t>
  </si>
  <si>
    <t>Public</t>
  </si>
  <si>
    <t>Personal</t>
  </si>
  <si>
    <t>Confidential</t>
  </si>
  <si>
    <t>Data Categories:</t>
  </si>
  <si>
    <t>Finance</t>
  </si>
  <si>
    <t>Human Resources</t>
  </si>
  <si>
    <t>Department</t>
  </si>
  <si>
    <t>Processing Purpose</t>
  </si>
  <si>
    <t>Personnel File</t>
  </si>
  <si>
    <t>Payroll</t>
  </si>
  <si>
    <t>Recipients of Data</t>
  </si>
  <si>
    <t>Referee</t>
  </si>
  <si>
    <t>Data Subject</t>
  </si>
  <si>
    <t>Controller</t>
  </si>
  <si>
    <t>Location of Data</t>
  </si>
  <si>
    <t>Index</t>
  </si>
  <si>
    <t>Needed?</t>
  </si>
  <si>
    <t>Business Function</t>
  </si>
  <si>
    <t>Source of Data</t>
  </si>
  <si>
    <t>Source of the data</t>
  </si>
  <si>
    <t>Operations</t>
  </si>
  <si>
    <t>Volunteer</t>
  </si>
  <si>
    <t>Schedule</t>
  </si>
  <si>
    <t>Enter the company name of your Payroll Service:</t>
  </si>
  <si>
    <t>Acme Payroll Ltd.</t>
  </si>
  <si>
    <t>Payroll Outsource:</t>
  </si>
  <si>
    <t>Enter the company name of your Pension Provider:</t>
  </si>
  <si>
    <t>Acme Pensions Ltd.</t>
  </si>
  <si>
    <t>Pension Provider</t>
  </si>
  <si>
    <t>Beneficiaries</t>
  </si>
  <si>
    <t>Donor</t>
  </si>
  <si>
    <t>Sales</t>
  </si>
  <si>
    <t>Legal</t>
  </si>
  <si>
    <t>Fund Raising</t>
  </si>
  <si>
    <t>Marketing</t>
  </si>
  <si>
    <t>Services</t>
  </si>
  <si>
    <t>Processor</t>
  </si>
  <si>
    <t>Is the practitioner UK GDPR compliant</t>
  </si>
  <si>
    <t>UK GDPR</t>
  </si>
  <si>
    <t>Payment</t>
  </si>
  <si>
    <t>Compliance</t>
  </si>
  <si>
    <t>Practitioner</t>
  </si>
  <si>
    <t>Trustee</t>
  </si>
  <si>
    <t>Board</t>
  </si>
  <si>
    <t>Profiling</t>
  </si>
  <si>
    <t>Personal Data Category</t>
  </si>
  <si>
    <t>Add an "and"</t>
  </si>
  <si>
    <t>Is the Work place pension offered, In House or Outsourced?</t>
  </si>
  <si>
    <t xml:space="preserve">  </t>
  </si>
  <si>
    <t>Other:</t>
  </si>
  <si>
    <t>Please complete</t>
  </si>
  <si>
    <t>Trustee Data Type</t>
  </si>
  <si>
    <t>Beneficiary datatype</t>
  </si>
  <si>
    <t>Donor Datatype</t>
  </si>
  <si>
    <t>Practitioner Datatype</t>
  </si>
  <si>
    <t>Marketing Datatype</t>
  </si>
  <si>
    <t>Provide a short description of the data type</t>
  </si>
  <si>
    <t>e.g. Employee Perks</t>
  </si>
  <si>
    <t>Provide a short description of the data type:</t>
  </si>
  <si>
    <t>e.g. Volunteer Perks</t>
  </si>
  <si>
    <t>Always!</t>
  </si>
  <si>
    <t>D.1.a</t>
  </si>
  <si>
    <t>D.1.b</t>
  </si>
  <si>
    <t>D.1.c</t>
  </si>
  <si>
    <t>D.1.d</t>
  </si>
  <si>
    <t>D.2.a</t>
  </si>
  <si>
    <t>D.2.b</t>
  </si>
  <si>
    <t>D.2.d</t>
  </si>
  <si>
    <t>D.2.e</t>
  </si>
  <si>
    <t>D.2.f</t>
  </si>
  <si>
    <t>D.2.g</t>
  </si>
  <si>
    <t>D.2.h</t>
  </si>
  <si>
    <t>D.2.i</t>
  </si>
  <si>
    <t>D.2.j</t>
  </si>
  <si>
    <t>D.2.k</t>
  </si>
  <si>
    <t>D.2.l</t>
  </si>
  <si>
    <t>D.2.m</t>
  </si>
  <si>
    <t>D.2.n</t>
  </si>
  <si>
    <t>D.2.o</t>
  </si>
  <si>
    <t>D.2.p</t>
  </si>
  <si>
    <t>D.3.a</t>
  </si>
  <si>
    <t>D.3.b</t>
  </si>
  <si>
    <t>D.3.c</t>
  </si>
  <si>
    <t>D.3.d</t>
  </si>
  <si>
    <t>D.3.e</t>
  </si>
  <si>
    <t>D.3.f</t>
  </si>
  <si>
    <t>D.3.g</t>
  </si>
  <si>
    <t>D.3.h</t>
  </si>
  <si>
    <t>D.3.i</t>
  </si>
  <si>
    <t>D.3.j</t>
  </si>
  <si>
    <t>D.4.a</t>
  </si>
  <si>
    <t>D.4.b</t>
  </si>
  <si>
    <t>D.4.c</t>
  </si>
  <si>
    <t>D.4.d</t>
  </si>
  <si>
    <t>D.4.e</t>
  </si>
  <si>
    <t>D.4.f</t>
  </si>
  <si>
    <t>D.4.g</t>
  </si>
  <si>
    <t>D.4.h</t>
  </si>
  <si>
    <t>D.4.i</t>
  </si>
  <si>
    <t>D.5.a</t>
  </si>
  <si>
    <t>D.5.b</t>
  </si>
  <si>
    <t>D.5.c</t>
  </si>
  <si>
    <t>D.5.d</t>
  </si>
  <si>
    <t>D.5.e</t>
  </si>
  <si>
    <t>D.5.f</t>
  </si>
  <si>
    <t>D.5.g</t>
  </si>
  <si>
    <t>D.5.h</t>
  </si>
  <si>
    <t>D.5.i</t>
  </si>
  <si>
    <t>D.5.j</t>
  </si>
  <si>
    <t>D.6.a</t>
  </si>
  <si>
    <t>D.6.b</t>
  </si>
  <si>
    <t>D.6.c</t>
  </si>
  <si>
    <t>D.6.d</t>
  </si>
  <si>
    <t>D.6.g</t>
  </si>
  <si>
    <t>D.6.e</t>
  </si>
  <si>
    <t>D.6.f</t>
  </si>
  <si>
    <t>D.6.h</t>
  </si>
  <si>
    <t>D.6.i</t>
  </si>
  <si>
    <t>D.7.a</t>
  </si>
  <si>
    <t>D.7.b</t>
  </si>
  <si>
    <t>D.7.c</t>
  </si>
  <si>
    <t>D.7.d</t>
  </si>
  <si>
    <t>D.7.e</t>
  </si>
  <si>
    <t>D.7.f</t>
  </si>
  <si>
    <t>D.2.c</t>
  </si>
  <si>
    <t>W.1.a</t>
  </si>
  <si>
    <t>W.1.b</t>
  </si>
  <si>
    <t>W.1.c</t>
  </si>
  <si>
    <t>W.1.d</t>
  </si>
  <si>
    <t>W.2.a</t>
  </si>
  <si>
    <t>W.2.b</t>
  </si>
  <si>
    <t>W.2.c</t>
  </si>
  <si>
    <t>W.2.d</t>
  </si>
  <si>
    <r>
      <t xml:space="preserve">Data Classification: </t>
    </r>
    <r>
      <rPr>
        <sz val="11"/>
        <color theme="1"/>
        <rFont val="Calibri"/>
        <family val="2"/>
        <scheme val="minor"/>
      </rPr>
      <t>We recommend the following 4 data classifiers, but if you wish to change them, please edit the boxes below after reading the notes</t>
    </r>
    <r>
      <rPr>
        <b/>
        <sz val="11"/>
        <color theme="1"/>
        <rFont val="Calibri"/>
        <family val="2"/>
        <scheme val="minor"/>
      </rPr>
      <t>:</t>
    </r>
  </si>
  <si>
    <t>Are these individual electronic records stored locally or in the cloud?</t>
  </si>
  <si>
    <t>W.3.a</t>
  </si>
  <si>
    <t>W.3.b</t>
  </si>
  <si>
    <t>W.3.c</t>
  </si>
  <si>
    <t>No Volunteer test:</t>
  </si>
  <si>
    <t>No Employee:</t>
  </si>
  <si>
    <t>Paper only</t>
  </si>
  <si>
    <t>Both</t>
  </si>
  <si>
    <t>In House only</t>
  </si>
  <si>
    <t>Cloud only</t>
  </si>
  <si>
    <r>
      <t xml:space="preserve">Warnings or cautions may appear, based on responses and as appropriate in </t>
    </r>
    <r>
      <rPr>
        <b/>
        <sz val="11"/>
        <color rgb="FFC00000"/>
        <rFont val="Calibri"/>
        <family val="2"/>
        <scheme val="minor"/>
      </rPr>
      <t>Red</t>
    </r>
  </si>
  <si>
    <t>Welcome to Privacy Essentials!, a security framework for charities to implement when handling electronic personal data.</t>
  </si>
  <si>
    <t>W.4.a</t>
  </si>
  <si>
    <t>W.4.b</t>
  </si>
  <si>
    <t>How does the Charity collect and record  data for beneficiaries?</t>
  </si>
  <si>
    <t>How does the Charity collect and record data for Volunteers?</t>
  </si>
  <si>
    <t>How does the Charity collect and record data for employees?</t>
  </si>
  <si>
    <t>From the Workflow Page - Volunteer</t>
  </si>
  <si>
    <t>From the Workflow Page - Beneficiary</t>
  </si>
  <si>
    <t>From the Workflow Page - Donor</t>
  </si>
  <si>
    <t>W.4.c</t>
  </si>
  <si>
    <t>W.5.a</t>
  </si>
  <si>
    <t>W.5.b</t>
  </si>
  <si>
    <t>W.5.c</t>
  </si>
  <si>
    <t>W.5.d</t>
  </si>
  <si>
    <t>How does the Charity collect and record  data for Donors?</t>
  </si>
  <si>
    <t>W.5.e</t>
  </si>
  <si>
    <t>To keep the number of responses reasonable, certain datatypes are assumed i.e. contact details should be the following elements: Full name, title, street address, postcode, e-mail address and phone numbers</t>
  </si>
  <si>
    <t>Acme Gift Aid Ltd.</t>
  </si>
  <si>
    <t>From the Workflow Page - Practitioner</t>
  </si>
  <si>
    <t>No Beneficiary test:</t>
  </si>
  <si>
    <t>No Donor test:</t>
  </si>
  <si>
    <t>No Practitioner test:</t>
  </si>
  <si>
    <t>W.7.b</t>
  </si>
  <si>
    <t>W.7.c</t>
  </si>
  <si>
    <t>ICO</t>
  </si>
  <si>
    <t>Information Commissioners Office</t>
  </si>
  <si>
    <t>UK General Data Protection Regulation, most provisions were inherited from EU's GDPR</t>
  </si>
  <si>
    <t>Data Protection Act 2018 - is the legislation that enforces the regulations within UK GDPR</t>
  </si>
  <si>
    <t>Acme Bank Inc.</t>
  </si>
  <si>
    <t>Acme Legal Eagles</t>
  </si>
  <si>
    <t>Enter the company name that processes your Gift Aid:</t>
  </si>
  <si>
    <t>How does the Charity process credit cards:</t>
  </si>
  <si>
    <t>From the Workflow Page - Marketing Consent</t>
  </si>
  <si>
    <t>From the Workflow Page - Trustee</t>
  </si>
  <si>
    <t>How does the Charity collect and record  marketing consent?</t>
  </si>
  <si>
    <t>Acme DBS Ltd.</t>
  </si>
  <si>
    <t>DBS Provider:</t>
  </si>
  <si>
    <t>Enter the name of the company that provides your DBS records:</t>
  </si>
  <si>
    <t>Show Payroll Supplier:</t>
  </si>
  <si>
    <t>Show Pension Supplier:</t>
  </si>
  <si>
    <t>Show DBS Supplier:</t>
  </si>
  <si>
    <t>W.2.e</t>
  </si>
  <si>
    <t>Show Gift aid Supplier:</t>
  </si>
  <si>
    <t>Gift Aid supplier:</t>
  </si>
  <si>
    <t>DBS Supplier</t>
  </si>
  <si>
    <t>Privacy Policy</t>
  </si>
  <si>
    <t>Data Processing Policy</t>
  </si>
  <si>
    <t>UK GDPR Training Policy</t>
  </si>
  <si>
    <t>Recruitment</t>
  </si>
  <si>
    <t>Category of Individual</t>
  </si>
  <si>
    <t>Beneficiary</t>
  </si>
  <si>
    <t>Individual Category</t>
  </si>
  <si>
    <t>Employment History</t>
  </si>
  <si>
    <t>Reference Contact</t>
  </si>
  <si>
    <t>Health Conditions</t>
  </si>
  <si>
    <t>Equality or Diversity data</t>
  </si>
  <si>
    <t>Qualifications</t>
  </si>
  <si>
    <t>Personnel Contact Details</t>
  </si>
  <si>
    <t>Unsuccessful Candidate</t>
  </si>
  <si>
    <t>DPIA</t>
  </si>
  <si>
    <t>Data Retention</t>
  </si>
  <si>
    <t>Data Location</t>
  </si>
  <si>
    <t>Date to Implement</t>
  </si>
  <si>
    <t>Date to Train</t>
  </si>
  <si>
    <t>From the Policy Page</t>
  </si>
  <si>
    <t>SAR Policy</t>
  </si>
  <si>
    <t>SAR Procedure</t>
  </si>
  <si>
    <t>Data Privacy Impact Assessment</t>
  </si>
  <si>
    <t>Personal-Sensitive</t>
  </si>
  <si>
    <t>Required?</t>
  </si>
  <si>
    <t>Indexed</t>
  </si>
  <si>
    <t>Variable List</t>
  </si>
  <si>
    <t>Max Length</t>
  </si>
  <si>
    <t>Based on the tick boxes above, the following drop down menu is dynamically created:</t>
  </si>
  <si>
    <t>DPIA Requirements:</t>
  </si>
  <si>
    <t>Statements</t>
  </si>
  <si>
    <t>Health</t>
  </si>
  <si>
    <t>Ethnicity</t>
  </si>
  <si>
    <t>Criminality</t>
  </si>
  <si>
    <t>We have checked the processing of the special category data is necessary for the purpose we have identified and are satisfied there is no other reasonable and less intrusive way to achieve that purpose.</t>
  </si>
  <si>
    <t>https://www.legislation.gov.uk/ukpga/2018/12/schedule/1/enacted</t>
  </si>
  <si>
    <t>From the responses provided the charity has no Special Category data.</t>
  </si>
  <si>
    <t>No</t>
  </si>
  <si>
    <t>Criminal</t>
  </si>
  <si>
    <t>Joined</t>
  </si>
  <si>
    <t>Other</t>
  </si>
  <si>
    <t>You need to complete a data protection impact assessment (DPIA) for any type of processing which is likely to be high risk. You must therefore be aware of the risks of processing the special category data.</t>
  </si>
  <si>
    <t>In many cases you also need an ‘appropriate policy document’ in place in order to meet a UK Schedule 1 condition for processing in the DPA 2018.</t>
  </si>
  <si>
    <t>You must determine your condition for processing special category data before you begin this processing under the UK GDPR, and you should document it.</t>
  </si>
  <si>
    <t>In order to lawfully process special category data, you must identify both a lawful basis under Article 6 of the UK GDPR and a separate condition for processing under Article 9. These do not have to be linked.</t>
  </si>
  <si>
    <t>Before continuing, it may be prudent for the Charity to accept professional advice with regards to, appropriate policy documentation and DPIA's. This tab will introduce you to the concepts and provide templates to use.</t>
  </si>
  <si>
    <t>We have identified an Article 6 lawful basis for processing the special category data.</t>
  </si>
  <si>
    <t>We have identified an appropriate Article 9 condition for processing the special category data.</t>
  </si>
  <si>
    <t>Where required, we have also identified an appropriate DPA 2018 Schedule 1 condition.</t>
  </si>
  <si>
    <t>We have documented which special categories of data we are processing.</t>
  </si>
  <si>
    <t>Where required, we have an appropriate policy document in place.</t>
  </si>
  <si>
    <t>We have considered whether we need to do a DPIA.</t>
  </si>
  <si>
    <t>We include specific information about our processing of special category data in our privacy information for individuals.</t>
  </si>
  <si>
    <t>If we use special category data for automated decision making (including profiling), we have checked we comply with Article 22.</t>
  </si>
  <si>
    <t>Which conditions does the Charity meet, in order to process Special Category Data:</t>
  </si>
  <si>
    <t>Access Control Procedure</t>
  </si>
  <si>
    <t>Access Control Procedure:</t>
  </si>
  <si>
    <t>Document Control Procedure</t>
  </si>
  <si>
    <t>Document Control Procedure:</t>
  </si>
  <si>
    <t>Incident Management Procedure</t>
  </si>
  <si>
    <t>Incident Management Procedure:</t>
  </si>
  <si>
    <t>Privacy Policy:</t>
  </si>
  <si>
    <t>Data Processing Policy:</t>
  </si>
  <si>
    <t>Subject Access Request Policy (SAR):</t>
  </si>
  <si>
    <t>UK GDPR Training Policy:</t>
  </si>
  <si>
    <t>Spare Procedure 2</t>
  </si>
  <si>
    <t>Spare Procedure 3</t>
  </si>
  <si>
    <t>Conditions</t>
  </si>
  <si>
    <t xml:space="preserve">Description of data processed </t>
  </si>
  <si>
    <t>Schedule 1 condition for processing</t>
  </si>
  <si>
    <t xml:space="preserve">Accountability principle </t>
  </si>
  <si>
    <t xml:space="preserve">Principle (a): lawfulness, fairness and transparency </t>
  </si>
  <si>
    <t>ii. Do we make appropriate privacy information available with respect to the SC/CO data?</t>
  </si>
  <si>
    <t>iii. Are we open and honest when we collect the SC/CO data and do we ensure we do not deceive or mislead people about its use?</t>
  </si>
  <si>
    <t xml:space="preserve">Principle (b): purpose limitation </t>
  </si>
  <si>
    <t xml:space="preserve">Principle (c): data minimisation </t>
  </si>
  <si>
    <t xml:space="preserve">Principle (d): accuracy </t>
  </si>
  <si>
    <t xml:space="preserve">Principle (e): storage limitation </t>
  </si>
  <si>
    <t>Principle (f): integrity and confidentiality (security)</t>
  </si>
  <si>
    <t xml:space="preserve">i. Do we maintain appropriate documentation of our processing activities? </t>
  </si>
  <si>
    <t>iii. Do we carry out data protection impact assessments (DPIA) for uses of personal data that are likely to result in high risk to individuals’ interests?</t>
  </si>
  <si>
    <t>i. Have we identified an appropriate lawful basis for processing and a further Schedule 1 condition for processing SC/CO data?</t>
  </si>
  <si>
    <t>i. Have we clearly identified our purpose(s) for processing the SC/CO data?</t>
  </si>
  <si>
    <t>ii. Have we included appropriate details of these purposes in our privacy information for individuals?</t>
  </si>
  <si>
    <t>iii. If we plan to use personal data for a new purpose (other than a legal obligation or function set out in law), do we check that this is compatible with our original purpose or get specific consent for the new purpose?</t>
  </si>
  <si>
    <t xml:space="preserve">ii. Are we satisfied that we have sufficient SC/CO data to properly fulfil those purposes? </t>
  </si>
  <si>
    <t>iii. Do we periodically review this particular SC/CO data, and delete anything we don’t need?</t>
  </si>
  <si>
    <t>i. Do we have appropriate processes in place to check the accuracy of the SC/CO data we collect, and do we record the source of that data?</t>
  </si>
  <si>
    <t>ii. Do we have a process in place to identify when we need to keep the SC/CO data updated to properly fulfil our purpose, and do we update it as necessary?</t>
  </si>
  <si>
    <t>iii. Do we have a policy or set of procedures which outline how we keep records of mistakes and opinions, how we deal with challenges to the accuracy of data and how we ensure compliance with the individual’s right to rectification?</t>
  </si>
  <si>
    <t>i. Do we carefully consider how long we keep the SC/CO data and can we justify this amount of time?</t>
  </si>
  <si>
    <t>ii. Do we regularly review our information and erase or anonymise this SC/CO data when we no longer need it?</t>
  </si>
  <si>
    <t>iii. Have we clearly identified any SC/CO data that we need to keep for public interest archiving, scientific or historical research, or statistical purposes?</t>
  </si>
  <si>
    <t>ii. Do we have an information security policy (or equivalent) regarding this SC/CO data and do we take steps to make sure the policy is implemented? Is it regularly reviewed?</t>
  </si>
  <si>
    <t>ii. Do we have appropriate data protection policies?</t>
  </si>
  <si>
    <t xml:space="preserve">i. Are we satisfied that we only collect SC/CO personal data we actually need for our specified purposes? </t>
  </si>
  <si>
    <t>Yes</t>
  </si>
  <si>
    <t>YesNo</t>
  </si>
  <si>
    <t>Sick Records:</t>
  </si>
  <si>
    <t>Observations from the Data Collection and Workflow Page</t>
  </si>
  <si>
    <t>Please note, if any of the above assumptions are incorrect, double-check your previous responses.</t>
  </si>
  <si>
    <t>3rd Party Supplier Policy</t>
  </si>
  <si>
    <t>Performance Records</t>
  </si>
  <si>
    <t>W.2.f</t>
  </si>
  <si>
    <t>W.2.g</t>
  </si>
  <si>
    <t>Source</t>
  </si>
  <si>
    <t>Enter the name of the company that provides DBS records:</t>
  </si>
  <si>
    <t>For this section, please review the Data Risk Register (DRR) and adopt as satisfying Article 30. This tool make recommendations for security controls. However, what the Charity decides is best practice should be reflected within the DRR.
Please also note, no international processing of data is considered in the DRR - and therefore these sections should be added as appropriate</t>
  </si>
  <si>
    <t>Retention and erasure policies</t>
  </si>
  <si>
    <r>
      <t xml:space="preserve">i. Have we analysed the risks presented by our processing and used this to assess the appropriate level of security we need for this data? </t>
    </r>
    <r>
      <rPr>
        <i/>
        <sz val="11"/>
        <color rgb="FFC00000"/>
        <rFont val="Calibri"/>
        <family val="2"/>
        <scheme val="minor"/>
      </rPr>
      <t>A DPIA template is provided in the Privacy Essentials! Tool</t>
    </r>
  </si>
  <si>
    <r>
      <t xml:space="preserve">iii. Have we put other technical measures or controls in place because of the circumstances and the type of SC/CO data we are processing? </t>
    </r>
    <r>
      <rPr>
        <i/>
        <sz val="11"/>
        <color rgb="FFC00000"/>
        <rFont val="Calibri"/>
        <family val="2"/>
        <scheme val="minor"/>
      </rPr>
      <t>You need to add the controls within the DRR</t>
    </r>
  </si>
  <si>
    <t>Appropriate Policy Document Template</t>
  </si>
  <si>
    <t>From within the Privacy Essentials! tool we capture, Health, Ethnicity or Diversity (SC) data and we may have captured Criminal Offence data if the charity collects DBS records (for instance). Both these datatypes will be clearly highlighted in the Data Risk Register (DRR).
If you declared "Other" as a datatype that was considered SC - then you will need to categorise that both here and within the DRR.</t>
  </si>
  <si>
    <t>Data Retention and Destruction Policy:</t>
  </si>
  <si>
    <t>Spare Policy 2:</t>
  </si>
  <si>
    <t>Data Retention &amp; Destruction Policy</t>
  </si>
  <si>
    <t>Implement</t>
  </si>
  <si>
    <t>What Policy to Show</t>
  </si>
  <si>
    <t>Header to Show</t>
  </si>
  <si>
    <t>Policy / Procedure to Show</t>
  </si>
  <si>
    <t>Dropdown Menus:</t>
  </si>
  <si>
    <t>This policy can be found on the Policy and Procedure pages - so adapt as needed to include here or as per advice in the notes.</t>
  </si>
  <si>
    <t>This template is adapted from the ICO template made available on-line. As per their instructions, this document should make reference to your documentation under Article 30, and that is predominantly covered in the pre-filled worksheet called Data Risk Register. SC refers to Special Category data and CO refers to Criminal Offence data. Whilst brief guidance may be offered, within the template, please overtype any pre-filled text</t>
  </si>
  <si>
    <t>þ</t>
  </si>
  <si>
    <t>We have considered whether the risks associated with our use of special category data affect our other obligations around data minimisation, security, and appointing DPO's and representatives.</t>
  </si>
  <si>
    <t>A.1.a</t>
  </si>
  <si>
    <t>A.1.b</t>
  </si>
  <si>
    <t>A.1.c</t>
  </si>
  <si>
    <t>A.1.d</t>
  </si>
  <si>
    <t>A.1.h</t>
  </si>
  <si>
    <t>A.1.e</t>
  </si>
  <si>
    <t>A.1.f</t>
  </si>
  <si>
    <t>A.1.g</t>
  </si>
  <si>
    <t>A.1.i</t>
  </si>
  <si>
    <t>A.1.j</t>
  </si>
  <si>
    <r>
      <t xml:space="preserve"> </t>
    </r>
    <r>
      <rPr>
        <sz val="12"/>
        <color rgb="FF0070C0"/>
        <rFont val="Webdings"/>
        <family val="1"/>
        <charset val="2"/>
      </rPr>
      <t>i</t>
    </r>
  </si>
  <si>
    <t>Personal Data Breach Policy</t>
  </si>
  <si>
    <t>Prepare an incident response plan</t>
  </si>
  <si>
    <t>Personal Data Breach Actions</t>
  </si>
  <si>
    <t>UK GDPR Training Actions</t>
  </si>
  <si>
    <t>Subject Access Request (SAR) Actions</t>
  </si>
  <si>
    <t>Data Retention and Destruction Actions</t>
  </si>
  <si>
    <t>Present to staff for training and understanding</t>
  </si>
  <si>
    <t>Approve and apply Data Retention and Destruction Policy</t>
  </si>
  <si>
    <t>Create a Record of Destruction file to log relevant file destruction</t>
  </si>
  <si>
    <t>Consider including a Policy for ROT, Redundant, Obsolete and Trivia files</t>
  </si>
  <si>
    <t>Prepare a SAR request Form</t>
  </si>
  <si>
    <t>Approve and apply SAR Policy</t>
  </si>
  <si>
    <t>Define process to find individual data from structured and unstructured files</t>
  </si>
  <si>
    <t>Assign dedicated role for management of SARs</t>
  </si>
  <si>
    <t>Produce and maintain a log to record requests</t>
  </si>
  <si>
    <t>What Action</t>
  </si>
  <si>
    <t>Committed Date</t>
  </si>
  <si>
    <t>What Dates to Show?</t>
  </si>
  <si>
    <t xml:space="preserve"> </t>
  </si>
  <si>
    <t>Make amendments as necessary - based on staff feedback</t>
  </si>
  <si>
    <t>Training</t>
  </si>
  <si>
    <t>Develop training materials appropriate to the Charity</t>
  </si>
  <si>
    <t xml:space="preserve">Set review date </t>
  </si>
  <si>
    <t>Approve and apply UK GDPR Policy</t>
  </si>
  <si>
    <t>Inform staff of training regime and seek feedback</t>
  </si>
  <si>
    <t>Create and maintain a record of all staff training</t>
  </si>
  <si>
    <t>Inform staff of Incident response plans and seek feedback</t>
  </si>
  <si>
    <t>Approve and apply Personal Data Breach Policy</t>
  </si>
  <si>
    <t>Initiate a Security Culture for all staff to encourage participation</t>
  </si>
  <si>
    <t>Recommended Action Items</t>
  </si>
  <si>
    <t>Write or adapt the Data Retention and Destruction Policy</t>
  </si>
  <si>
    <t>Write or adapt the Subject Access Request Policy</t>
  </si>
  <si>
    <t>Write or adapt the Personal Data Breach Policy</t>
  </si>
  <si>
    <t>Privacy Policy Actions</t>
  </si>
  <si>
    <t>Write or adapt the Privacy Policy</t>
  </si>
  <si>
    <t>Approve and apply the Privacy Policy</t>
  </si>
  <si>
    <t>Maintain a log file to record all data breaches</t>
  </si>
  <si>
    <t>Assign dedicated roles to the management of a breach</t>
  </si>
  <si>
    <t>Write or adapt the UK GDPR Training Policy</t>
  </si>
  <si>
    <t>Book and Schedule training activities into staff calendars</t>
  </si>
  <si>
    <t>3rd Party Supplier Actions</t>
  </si>
  <si>
    <t>Write or adapt the 3rd Party Supplier policy</t>
  </si>
  <si>
    <t>Review contracts with current providers</t>
  </si>
  <si>
    <t>Confirm processing arrangements are as expected</t>
  </si>
  <si>
    <t>Communicate the Charity's requirements for compliance</t>
  </si>
  <si>
    <t>Train the Procurement team with new Policy</t>
  </si>
  <si>
    <t>Maintain a file of compliant/non-compliant suppliers</t>
  </si>
  <si>
    <t>`</t>
  </si>
  <si>
    <t>Ref</t>
  </si>
  <si>
    <t>P.1.a</t>
  </si>
  <si>
    <t>P.1.b</t>
  </si>
  <si>
    <t>P.1.c</t>
  </si>
  <si>
    <t>P.1.d</t>
  </si>
  <si>
    <t>P.1.e</t>
  </si>
  <si>
    <t>P.1.f</t>
  </si>
  <si>
    <t>P.1.g</t>
  </si>
  <si>
    <t>String</t>
  </si>
  <si>
    <t>Comma?</t>
  </si>
  <si>
    <t>Fix Comma</t>
  </si>
  <si>
    <t>Plural</t>
  </si>
  <si>
    <t>Add And</t>
  </si>
  <si>
    <t>Needs Recommendations?</t>
  </si>
  <si>
    <t>File Locations</t>
  </si>
  <si>
    <t>File Locations:</t>
  </si>
  <si>
    <t>Are beneficiary service updates electronically recorded?</t>
  </si>
  <si>
    <t>Show CC processor</t>
  </si>
  <si>
    <t>Will Writing</t>
  </si>
  <si>
    <t>Will writing service provider name:</t>
  </si>
  <si>
    <t>Will writing Supplier:</t>
  </si>
  <si>
    <t>How do the practitioners collect and record  data for beneficiaries?</t>
  </si>
  <si>
    <t>Cedars (2019) Ltd.</t>
  </si>
  <si>
    <t>The UK GDPR contains explicit provisions about documenting your processing activities. You must maintain records on several things such as processing purposes, data sharing and retention.
There is a limited exemption for small and medium-sized organisations. If you have fewer than 250 employees, you only need to document processing activities that: are not occasional; could result in a risk to the rights and freedoms of individuals; or involve the processing of special categories of data or criminal conviction and offence data.</t>
  </si>
  <si>
    <t>Accident books, accident records/reports</t>
  </si>
  <si>
    <t>First aid training</t>
  </si>
  <si>
    <t>Fire warden training</t>
  </si>
  <si>
    <t>Health and Safety representatives and employees’ training</t>
  </si>
  <si>
    <t>Income tax and NI returns, income tax records and correspondence with HMRC</t>
  </si>
  <si>
    <t>National minimum wage records</t>
  </si>
  <si>
    <t>Payroll wage/salary records (also overtime, bonuses, expenses)</t>
  </si>
  <si>
    <t>Records relating to children and young adults</t>
  </si>
  <si>
    <t>Retirement Benefits Schemes </t>
  </si>
  <si>
    <t>Subject access request</t>
  </si>
  <si>
    <t>Working time records including overtime, annual holiday, time off for dependents, etc</t>
  </si>
  <si>
    <t>Article 6</t>
  </si>
  <si>
    <t>Article 9</t>
  </si>
  <si>
    <t>Article 6(1)(c) - legal obligation</t>
  </si>
  <si>
    <t>Article 6(1)(b) - contract</t>
  </si>
  <si>
    <t>Article 6(1)(a) - consent</t>
  </si>
  <si>
    <t>Article 9(2)(b) - employment</t>
  </si>
  <si>
    <t>Column:</t>
  </si>
  <si>
    <t>Article 9(2)(a) - consent</t>
  </si>
  <si>
    <t>Article 9(2)(h) - healthcare</t>
  </si>
  <si>
    <t>Article 6(1)(d) - vital interest</t>
  </si>
  <si>
    <r>
      <rPr>
        <b/>
        <sz val="11"/>
        <rFont val="Calibri"/>
        <family val="2"/>
        <scheme val="minor"/>
      </rPr>
      <t xml:space="preserve">Article 6     </t>
    </r>
    <r>
      <rPr>
        <sz val="11"/>
        <color rgb="FF0070C0"/>
        <rFont val="Webdings"/>
        <family val="1"/>
        <charset val="2"/>
      </rPr>
      <t>ü</t>
    </r>
  </si>
  <si>
    <r>
      <rPr>
        <b/>
        <sz val="11"/>
        <color theme="1"/>
        <rFont val="Calibri"/>
        <family val="2"/>
        <scheme val="minor"/>
      </rPr>
      <t xml:space="preserve">Article 9     </t>
    </r>
    <r>
      <rPr>
        <sz val="11"/>
        <color theme="10"/>
        <rFont val="Webdings"/>
        <family val="1"/>
        <charset val="2"/>
      </rPr>
      <t>ü</t>
    </r>
  </si>
  <si>
    <r>
      <t xml:space="preserve">Classification     </t>
    </r>
    <r>
      <rPr>
        <sz val="11"/>
        <color rgb="FF0070C0"/>
        <rFont val="Webdings"/>
        <family val="1"/>
        <charset val="2"/>
      </rPr>
      <t>i</t>
    </r>
  </si>
  <si>
    <t>Recipient</t>
  </si>
  <si>
    <t>Complete Data Processing Impact Assessments as per the Data Risk Register</t>
  </si>
  <si>
    <t>Once completed, update the Data Risk Register</t>
  </si>
  <si>
    <t>Data Processing Impact Assessment (DPIA) Actions</t>
  </si>
  <si>
    <t>Set review dates, or re-evaluate the DPIA if the Charity changes its processes</t>
  </si>
  <si>
    <t>Retention Period</t>
  </si>
  <si>
    <t>3 Years</t>
  </si>
  <si>
    <r>
      <t>VAT deferral (COVID-19)</t>
    </r>
    <r>
      <rPr>
        <sz val="11"/>
        <color theme="1"/>
        <rFont val="Calibri"/>
        <family val="2"/>
        <scheme val="minor"/>
      </rPr>
      <t> </t>
    </r>
  </si>
  <si>
    <t>Accounting records (see notes)</t>
  </si>
  <si>
    <t>5 Years after employment</t>
  </si>
  <si>
    <t>6 Years after employment</t>
  </si>
  <si>
    <t>3 Years after Fiscal Year End</t>
  </si>
  <si>
    <t>6 Years from scheme year</t>
  </si>
  <si>
    <t>Until the child reaches 21</t>
  </si>
  <si>
    <t>6 Months</t>
  </si>
  <si>
    <t>Whistleblowing documents (see notes)</t>
  </si>
  <si>
    <t>6 Years</t>
  </si>
  <si>
    <t>3 Years from last pay data</t>
  </si>
  <si>
    <t>6 Years from year they relate</t>
  </si>
  <si>
    <t>1 Year following completion</t>
  </si>
  <si>
    <t>SAR</t>
  </si>
  <si>
    <t>2 Years from creation</t>
  </si>
  <si>
    <t>3 Years after tax year</t>
  </si>
  <si>
    <t>Statutory Maternity / Paternity and adoption Pay records including Mat B1s</t>
  </si>
  <si>
    <t>Submitting controller details</t>
  </si>
  <si>
    <t>Name of controller:</t>
  </si>
  <si>
    <t>DPO /  Controller Contact:</t>
  </si>
  <si>
    <t>Step 1: Identify the need for a DPIA</t>
  </si>
  <si>
    <t>Explain broadly what project aims to achieve and what type of processing it involves. You may find it helpful to refer or link to other documents, such as a project proposal. Summarise why you identified the need for a DPIA.</t>
  </si>
  <si>
    <t>Step 2: Describe the processing</t>
  </si>
  <si>
    <r>
      <rPr>
        <b/>
        <sz val="11"/>
        <color theme="1"/>
        <rFont val="Calibri"/>
        <family val="2"/>
        <scheme val="minor"/>
      </rPr>
      <t>Describe the scope of the processing:</t>
    </r>
    <r>
      <rPr>
        <sz val="11"/>
        <color theme="1"/>
        <rFont val="Calibri"/>
        <family val="2"/>
        <scheme val="minor"/>
      </rPr>
      <t xml:space="preserve"> what is the nature of the data, and does it include special category or criminal offence data? How much data will you be collecting and using? How often? How long will you keep it? How many individuals are affected? What geographical area does it cover?</t>
    </r>
  </si>
  <si>
    <r>
      <rPr>
        <b/>
        <sz val="11"/>
        <color theme="1"/>
        <rFont val="Calibri"/>
        <family val="2"/>
        <scheme val="minor"/>
      </rPr>
      <t>Describe the nature of the processing:</t>
    </r>
    <r>
      <rPr>
        <sz val="11"/>
        <color theme="1"/>
        <rFont val="Calibri"/>
        <family val="2"/>
        <scheme val="minor"/>
      </rPr>
      <t xml:space="preserve"> how will you collect, use, store and delete data? What is the source of the data? Will you be sharing data with anyone? You might find it useful to refer to a flow diagram or other way of describing data flows. What types of processing identified as likely high risk are involved?</t>
    </r>
  </si>
  <si>
    <r>
      <rPr>
        <b/>
        <sz val="11"/>
        <color theme="1"/>
        <rFont val="Calibri"/>
        <family val="2"/>
        <scheme val="minor"/>
      </rPr>
      <t>Describe the context of the processing:</t>
    </r>
    <r>
      <rPr>
        <sz val="11"/>
        <color theme="1"/>
        <rFont val="Calibri"/>
        <family val="2"/>
        <scheme val="minor"/>
      </rPr>
      <t xml:space="preserve"> what is the nature of your relationship with the individuals? How much control will they have? Would they expect you to use their data in this way? Do they include children or other vulnerable groups? Are there prior concerns over this type of processing or security flaws? Is it novel in any way? What is the current state of technology in this area? Are there any current issues of public concern that you should factor in? Are you signed up to any approved code of conduct or certification scheme (once any have been approved)?</t>
    </r>
  </si>
  <si>
    <r>
      <rPr>
        <b/>
        <sz val="11"/>
        <color theme="1"/>
        <rFont val="Calibri"/>
        <family val="2"/>
        <scheme val="minor"/>
      </rPr>
      <t>Describe the purposes of the processing:</t>
    </r>
    <r>
      <rPr>
        <sz val="11"/>
        <color theme="1"/>
        <rFont val="Calibri"/>
        <family val="2"/>
        <scheme val="minor"/>
      </rPr>
      <t xml:space="preserve"> what do you want to achieve? What is the intended effect on individuals? What are the benefits of the processing – for  you, and more broadly? </t>
    </r>
  </si>
  <si>
    <t>Step 3: Consultation process</t>
  </si>
  <si>
    <t>Consider how to consult with relevant stakeholders: describe when and how you will seek individuals’ views – or justify why it’s not appropriate to do so. Who else do you need to involve within your organisation? Do you need to ask your processors to assist? Do you plan to consult information security experts, or any other experts?</t>
  </si>
  <si>
    <t>Step 4: Assess necessity and proportionality</t>
  </si>
  <si>
    <r>
      <rPr>
        <b/>
        <sz val="11"/>
        <color theme="1"/>
        <rFont val="Calibri"/>
        <family val="2"/>
        <scheme val="minor"/>
      </rPr>
      <t>Describe compliance and proportionality measures, in particular:</t>
    </r>
    <r>
      <rPr>
        <sz val="11"/>
        <color theme="1"/>
        <rFont val="Calibri"/>
        <family val="2"/>
        <scheme val="minor"/>
      </rPr>
      <t xml:space="preserve"> what is your lawful basis for processing? Does the processing actually achieve your purpose? Is there another way to achieve the same outcome? How will you prevent function creep? How will you ensure data quality and data minimisation? What information will you give individuals? How will you help to support their rights? What measures do you take to ensure processors comply? How do you safeguard any international transfers?</t>
    </r>
  </si>
  <si>
    <t>Step 5: Identify and assess risks</t>
  </si>
  <si>
    <t xml:space="preserve">Describe source of risk and nature of potential impact on individuals. Include associated compliance and corporate risks as necessary. </t>
  </si>
  <si>
    <t>Likelihood of harm</t>
  </si>
  <si>
    <t>Severity of harm</t>
  </si>
  <si>
    <t xml:space="preserve">Overall risk </t>
  </si>
  <si>
    <t xml:space="preserve">Remote, possible </t>
  </si>
  <si>
    <t>or probable</t>
  </si>
  <si>
    <t xml:space="preserve">Minimal, significant </t>
  </si>
  <si>
    <t>or severe</t>
  </si>
  <si>
    <t xml:space="preserve">Low, medium </t>
  </si>
  <si>
    <t>or high</t>
  </si>
  <si>
    <t>Step 6: Identify measures to reduce risk</t>
  </si>
  <si>
    <t>Identify additional measures you could take to reduce or eliminate risks identified as medium or high risk in step 5</t>
  </si>
  <si>
    <t>Options to reduce or eliminate risk</t>
  </si>
  <si>
    <t>Effect on risk</t>
  </si>
  <si>
    <t>Risk</t>
  </si>
  <si>
    <t>Measure Approved</t>
  </si>
  <si>
    <t>Yes/No</t>
  </si>
  <si>
    <t>Low, Medium, High</t>
  </si>
  <si>
    <t>Eliminated,</t>
  </si>
  <si>
    <t>Reduced or</t>
  </si>
  <si>
    <t>Accepted</t>
  </si>
  <si>
    <t>Residual Risk</t>
  </si>
  <si>
    <t>Step 7: Sign off and record outcomes</t>
  </si>
  <si>
    <t>Residual Risks Approved by</t>
  </si>
  <si>
    <t>DPO advice provided:</t>
  </si>
  <si>
    <t>Summary of DPO Advice</t>
  </si>
  <si>
    <t>Measures Approved by:</t>
  </si>
  <si>
    <t>DPO advice accepted or overruled by:</t>
  </si>
  <si>
    <t>Consultation responses reviewed by:</t>
  </si>
  <si>
    <t>This DPIA will kept under review by:</t>
  </si>
  <si>
    <t>Supporting Pages</t>
  </si>
  <si>
    <t>Throughout the framework, references to the appropriate legal measures are highlighted, DPA 2018, UK GDPR being the current legislation.</t>
  </si>
  <si>
    <t>External references, to expand on a topic, by clicking on:</t>
  </si>
  <si>
    <t>Limitations</t>
  </si>
  <si>
    <t>Known improvements</t>
  </si>
  <si>
    <t>No macro enabled filters, therefore fixed length documents are produced</t>
  </si>
  <si>
    <t>Locked cells to maintain the integrity of the form - the spreadsheet will be modify password protected when distributed for evaluation</t>
  </si>
  <si>
    <t>Volunteer data</t>
  </si>
  <si>
    <t>Beneficiary data</t>
  </si>
  <si>
    <t>Marketing recipients</t>
  </si>
  <si>
    <t>Trustee Data</t>
  </si>
  <si>
    <t>Recruitment Application Forms</t>
  </si>
  <si>
    <t xml:space="preserve">Right to work checks </t>
  </si>
  <si>
    <t>Referee data</t>
  </si>
  <si>
    <t>1 year after reference made</t>
  </si>
  <si>
    <t>Permanantly</t>
  </si>
  <si>
    <t>Trustee Minutes</t>
  </si>
  <si>
    <t>Not every scenario is catered for - SAR Policy could be added the DRR - however, is this a common processing occurrence?</t>
  </si>
  <si>
    <t>Some rows are hidden, this is purely to paginate the document tighter and to allow for additions to be made as necessary</t>
  </si>
  <si>
    <t>The "legal" texts will be independently verified should this framework be widely adopted - the researcher is not a lawyer. Best intentions are presented.</t>
  </si>
  <si>
    <t>Sick Pay and Records</t>
  </si>
  <si>
    <t>Employee Records</t>
  </si>
  <si>
    <t>DBS Records</t>
  </si>
  <si>
    <t>Donor Data</t>
  </si>
  <si>
    <t>Practitioner Data</t>
  </si>
  <si>
    <t>5 Years after last contract</t>
  </si>
  <si>
    <t>Marketing recipient</t>
  </si>
  <si>
    <t>Data Retention periods require verification, however they can be edited within the Retention Schedule</t>
  </si>
  <si>
    <t>SAR Request Procedure:</t>
  </si>
  <si>
    <t xml:space="preserve"> Furthermore, it also</t>
  </si>
  <si>
    <t xml:space="preserve"> appears the charity may have criminal records processed as part of the DBS checks undertaken.</t>
  </si>
  <si>
    <t>P.2.a</t>
  </si>
  <si>
    <t>P.2.b</t>
  </si>
  <si>
    <t>P.2.c</t>
  </si>
  <si>
    <t>P.2.d</t>
  </si>
  <si>
    <t>Date</t>
  </si>
  <si>
    <t>Date Missing</t>
  </si>
  <si>
    <t>Missing Tick</t>
  </si>
  <si>
    <t>There appears to be dates missing, based on the boxes ticked. Please fix the error before proceeding</t>
  </si>
  <si>
    <t>Data Processing Actions</t>
  </si>
  <si>
    <t>Write or adapt the Data Processing Policy</t>
  </si>
  <si>
    <t>Formally define the data retention timeframes based on legislation and requirements (See Data Retention Schedule)</t>
  </si>
  <si>
    <t>Extensive testing, timescales are limited with the Final Project deadline, and therefore whilst testing has been done, errors may still exist</t>
  </si>
  <si>
    <t>Some errors will exist - they will be patched as and when discovered</t>
  </si>
  <si>
    <t xml:space="preserve">ICO </t>
  </si>
  <si>
    <t>NIST</t>
  </si>
  <si>
    <t>SANS</t>
  </si>
  <si>
    <t>https://www.cipd.co.uk/</t>
  </si>
  <si>
    <t>CIPD</t>
  </si>
  <si>
    <t>https://ico.org.uk/</t>
  </si>
  <si>
    <t>https://www.nist.gov/</t>
  </si>
  <si>
    <t>https://www.legislation.gov.uk/ukpga/2018/12/contents/enacted</t>
  </si>
  <si>
    <t>https://www.legislation.gov.uk/eur/2016/679/contents</t>
  </si>
  <si>
    <t>https://www.sans.org/uk_en/</t>
  </si>
  <si>
    <r>
      <t xml:space="preserve">Initials   </t>
    </r>
    <r>
      <rPr>
        <sz val="14"/>
        <color rgb="FF0070C0"/>
        <rFont val="Webdings"/>
        <family val="1"/>
        <charset val="2"/>
      </rPr>
      <t>i</t>
    </r>
  </si>
  <si>
    <t>e-mail:</t>
  </si>
  <si>
    <t>Telephone #:</t>
  </si>
  <si>
    <t>DPO Officer Name:</t>
  </si>
  <si>
    <t>Controller Name:</t>
  </si>
  <si>
    <t>Central Trustee File</t>
  </si>
  <si>
    <t>HR Systems</t>
  </si>
  <si>
    <t>Recruitment System</t>
  </si>
  <si>
    <t>Volunteer Systems</t>
  </si>
  <si>
    <t>Beneficiary Systems</t>
  </si>
  <si>
    <t>Donor Systems</t>
  </si>
  <si>
    <t>Practitioner Systems</t>
  </si>
  <si>
    <t>Donor / Finance Systems</t>
  </si>
  <si>
    <t>Marketing System</t>
  </si>
  <si>
    <r>
      <t xml:space="preserve">Security Control  </t>
    </r>
    <r>
      <rPr>
        <sz val="11"/>
        <color rgb="FF0070C0"/>
        <rFont val="Webdings"/>
        <family val="1"/>
        <charset val="2"/>
      </rPr>
      <t>i</t>
    </r>
  </si>
  <si>
    <t>Workflows could accommodate structured data and unstructured data better - there is a fine line on how many questions to ask</t>
  </si>
  <si>
    <t>DRR sheet can fully mimic the ICO Template, however, as a starting point is suits a purpose to initiate a discussion with a Privacy expert</t>
  </si>
  <si>
    <t>CC Supplier:</t>
  </si>
  <si>
    <t>As per The Charity’s Access Control Procedures, The charity operates a principle of least privilege and will enable technical controls to enforce access rights to those members of staff that are trained and have sufficient permission to view or edit the data / document.
For data that is held within an application, privileges are maintained within the application through the access controls available. Default administrator privileges are strictly controlled to those staff members that maintain the application.
For unstructured data, centralised repositories are created by job function. Permission to access these file and folder structure is limited either by Active Directory membership (RBAC) or limited by the attributes of the subject / object (MAC). 
Discretionary access controls (assigned by the data owner) are used only when neither of the above can be applied.
All unstructured data is protectively marked using The Charity’s data classifications, and the definitions and treatment of these classification can be found in the protective marking documentation.
File naming conventions are applied to un-structured data to allow easy recognition of the file contents. These naming conventions are maintained by the department responsible for the data.
For any data file that is not marked for public consumption, The Charity will use encryption technologies to store and transfer the data. 
Document are retained in accordance with The Charity’s Data Retention and Destruction Policy. 
Any documentation that is created for a single purpose will be destroyed once that purpose is completed.</t>
  </si>
  <si>
    <t>Access Control Procedure Actions</t>
  </si>
  <si>
    <t>Set review date</t>
  </si>
  <si>
    <t>Document Control Procedure Actions</t>
  </si>
  <si>
    <t>Write or adapt the Access Control Procedures</t>
  </si>
  <si>
    <t>Write or adapt the Document Control Procedures</t>
  </si>
  <si>
    <t>Write or adapt the Incident Management Procedures</t>
  </si>
  <si>
    <t>Write or adapt the Subject Access Request Procedures</t>
  </si>
  <si>
    <t>Completion/Review Date</t>
  </si>
  <si>
    <t>Tick</t>
  </si>
  <si>
    <t>We actively encourage discussing the outcomes with a privacy expert once completed</t>
  </si>
  <si>
    <t>Acknowledgements:</t>
  </si>
  <si>
    <t>Information Sources</t>
  </si>
  <si>
    <t>The purpose of the document is to provide the charity the means to evaluate the policies and procedures for data management</t>
  </si>
  <si>
    <t xml:space="preserve">This framework was developed as part of a final year project for a BSc(Hons) programme with Bournemouth University, whilst reading Cyber Security Management. </t>
  </si>
  <si>
    <t>No Volunteer:</t>
  </si>
  <si>
    <t>There are no beneficiaries (D.4) for your Charity, therefore go to the next section</t>
  </si>
  <si>
    <t>There are no volunteers (D.3) for your Charity, therefore go to the next section</t>
  </si>
  <si>
    <t>There are no employees (D.2) for your Charity, therefore go to the next section</t>
  </si>
  <si>
    <t>No Donor:</t>
  </si>
  <si>
    <t>There are no donors (D.5) for your Charity, therefore go to the next section</t>
  </si>
  <si>
    <t>No Practitioner:</t>
  </si>
  <si>
    <t>There are no practitioners (D.6) for your Charity, therefore go to the next section</t>
  </si>
  <si>
    <t>The Charity does not engage in marketing activities (D.7)</t>
  </si>
  <si>
    <t>No Marketing test:</t>
  </si>
  <si>
    <t>W.1 - Trustee data collection</t>
  </si>
  <si>
    <t>W.2 - Employee data Collection</t>
  </si>
  <si>
    <t>W.3 - Volunteer Data Collection</t>
  </si>
  <si>
    <t>W.4 - Beneficiary</t>
  </si>
  <si>
    <t>W.5 - Donor</t>
  </si>
  <si>
    <t>W.6 - Practitioners</t>
  </si>
  <si>
    <t>W.7 - Marketing Consent</t>
  </si>
  <si>
    <t>D.1 - Trustees</t>
  </si>
  <si>
    <t>D.2 - Employee</t>
  </si>
  <si>
    <t>D.3 - Volunteer</t>
  </si>
  <si>
    <t>D.4 - Beneficiary</t>
  </si>
  <si>
    <t>D.5 - Donors</t>
  </si>
  <si>
    <t>D.6 - Practitioners</t>
  </si>
  <si>
    <t>D.7 - Marketing Consent</t>
  </si>
  <si>
    <t xml:space="preserve">P.1 - Policy </t>
  </si>
  <si>
    <t>P.2 - Procedure</t>
  </si>
  <si>
    <t>To view a policy or a procedure, tick the box(es) and select one at a time from the drop down menu in the Policy and Procedure Template section (P.4). If you want to adopt the documentation, complete both date fields. If no special category data has been found, then proceed to recommendations otherwise proceed to both Recommendations and APD</t>
  </si>
  <si>
    <t>P.4 - Policy and Procedure Templates</t>
  </si>
  <si>
    <r>
      <t xml:space="preserve">Similar to the previous questions in the Data Collection page, please choose the appropriate answer. Whilst paper records require special care, it is the collection of electronic data that this framework is primarily concerned with. Sufficient measures to protect paper copies should also be undertaken. If both paper and electronic forms are used to capture the data, please choose </t>
    </r>
    <r>
      <rPr>
        <b/>
        <sz val="11"/>
        <color rgb="FF0070C0"/>
        <rFont val="Calibri"/>
        <family val="2"/>
        <scheme val="minor"/>
      </rPr>
      <t>Both</t>
    </r>
    <r>
      <rPr>
        <sz val="11"/>
        <color theme="1"/>
        <rFont val="Calibri"/>
        <family val="2"/>
        <scheme val="minor"/>
      </rPr>
      <t xml:space="preserve"> from the menu.</t>
    </r>
  </si>
  <si>
    <t>R.1 - Statutory Record Type</t>
  </si>
  <si>
    <t>R.2 - Business Needs</t>
  </si>
  <si>
    <t>Confirm the requirement for appointing a Data Protection Officer (DPO)</t>
  </si>
  <si>
    <t>Paper records are not included within Privacy Essentials! This is deliberatly out of scope, but may be added at a future date.</t>
  </si>
  <si>
    <t>Does the Charity maintain sickness records for employees?</t>
  </si>
  <si>
    <t>Does the Charity maintain performance records for employees?</t>
  </si>
  <si>
    <t>Within the UK or EU</t>
  </si>
  <si>
    <t>Outside the UK or EU</t>
  </si>
  <si>
    <t>Not sure</t>
  </si>
  <si>
    <t>Application</t>
  </si>
  <si>
    <t>Application in-house</t>
  </si>
  <si>
    <t>Security</t>
  </si>
  <si>
    <t>Access Control List</t>
  </si>
  <si>
    <t>Strong Authentication (MFA)</t>
  </si>
  <si>
    <t>Password</t>
  </si>
  <si>
    <t>Encryption</t>
  </si>
  <si>
    <t>No Beneficiary:</t>
  </si>
  <si>
    <t>There are some date fields with data in them and the corresponding box is not ticked, please uncheck the box if not required</t>
  </si>
  <si>
    <t>Subject Access Request (SAR) Procedure Actions</t>
  </si>
  <si>
    <t>W.2.h</t>
  </si>
  <si>
    <t>W.2.i</t>
  </si>
  <si>
    <t>What is the strongest technical control deployed to provide security?</t>
  </si>
  <si>
    <t>Country_Storage</t>
  </si>
  <si>
    <t>Data_Store</t>
  </si>
  <si>
    <t>Data_Capture</t>
  </si>
  <si>
    <t>Is the application that processes the data local or a cloud service?</t>
  </si>
  <si>
    <t>Ideally, this framework is designed to help charities de-mystify their legal requirements and initiate a secure privacy culture.</t>
  </si>
  <si>
    <t>W.3.d</t>
  </si>
  <si>
    <t>W.3.e</t>
  </si>
  <si>
    <t>2) It is important to note, it would be impossible to consider every eventuality, however, with some common industry knowledge there are many practices that are shared by Charities, therefore most workflows are considered.</t>
  </si>
  <si>
    <t>4) Questions regarding the storage and processing of personal data are repeated across each identity. It is anticipated that certain applications are better suited to the management of a particular dataset and therefore the responses will differ and these need to be recorded as accurately as possible within the Data Risk Register.</t>
  </si>
  <si>
    <t>None / Not Sure</t>
  </si>
  <si>
    <t>W.4.d</t>
  </si>
  <si>
    <t>Are these individual records data stored within the UK/EU or outside?</t>
  </si>
  <si>
    <t>W.5.f</t>
  </si>
  <si>
    <t>W.6.a</t>
  </si>
  <si>
    <t>W.6.b</t>
  </si>
  <si>
    <t>W.6.c</t>
  </si>
  <si>
    <t>W.6.d</t>
  </si>
  <si>
    <t>W.7.a</t>
  </si>
  <si>
    <t>W.5.g</t>
  </si>
  <si>
    <t>W.6.e</t>
  </si>
  <si>
    <t>W.7.d</t>
  </si>
  <si>
    <t>DRR</t>
  </si>
  <si>
    <t>Geography</t>
  </si>
  <si>
    <r>
      <t xml:space="preserve">Geographic Location  </t>
    </r>
    <r>
      <rPr>
        <sz val="11"/>
        <color rgb="FF0070C0"/>
        <rFont val="Webdings"/>
        <family val="1"/>
        <charset val="2"/>
      </rPr>
      <t>i</t>
    </r>
  </si>
  <si>
    <t>Employee Privacy Policy:</t>
  </si>
  <si>
    <t>Employee Privacy Policy</t>
  </si>
  <si>
    <t>The Charity is committed to protecting your privacy and ensuring that your personal data is handled in a safe and responsible way. This Data Privacy Policy outlines how we collect, use, and store your personal data and your rights in relation to that data.
The Charity is the data controller and is responsible for the personal data we collect and process. Our registered address is [insert address], and our company registration number is [insert registration number]. If you have any questions or concerns about our Data Privacy Policy, please contact us at [insert contact email].
We may collect and process the following personal data about you:
•	Contact information such as your name, email address, and phone number.
•	Demographic information such as your age, gender, and location.
•	Financial information such as your bank details and payment information.
•	Technical information such as your IP address, browser type, and device information.
•	Usage information such as your browsing history and purchase history.
•	Marketing and communication preferences.
We use your personal data for the following purposes:
•	To provide you with the products and services you have requested.
•	To process your payments and prevent fraud.
•	To communicate with you about your orders, products, and services.
•	To provide you with marketing information and special offers if you have consented to receive them.
•	To personalize your experience on our website.
•	To comply with legal and regulatory requirements.
The Charity takes the security of your personal data very seriously and have implemented appropriate technical and organizational measures to protect your data from unauthorized access, accidental loss, or destruction.</t>
  </si>
  <si>
    <t>The Charity will only retain personal data for as long as is necessary to fulfil the purpose for which it was collected.
Our retention policy applies to both personal data and any special category data that we collect and retain.
Retention periods are defined by either legislation or business need.
The Charity regularly reviews the personal data we hold and delete any data that is no longer necessary for the purpose for which it was collected.
Our review period is triggered annually at the end of our financial year.
Personal data will be retained in accordance with legal and regulatory requirements.
The Charity documents the retention and deletion of personal data in accordance with our Data Retention Schedule.
The Charity will implement appropriate technical and organizational measures to ensure the security of the personal data we retain.
The Charity provides individuals with access to their personal data (see our Subject Access Request Policy) and take reasonable steps to correct any inaccuracies. 
The Charity will not retain personal data for longer than is necessary for the purpose for which it was collected.
When records are no longer required, those records will be securely destroyed.
The Charity regularly reviews and update this policy as necessary to ensure that it continues to meet legal and regulatory requirements, and to reflect our ongoing commitment to data privacy.</t>
  </si>
  <si>
    <t>The Charity has processes in place to ensure that we respond to a subject access request (SAR) without undue delay and within one month of receipt.
The charity requires valid evidence from the requestor to prove their identity when receiving a SAR.
The charity will perform a reasonable search for the information.
The Charity will not charge a fee for conducting a SAR. However, we may charge a ’reasonable fee’ for the administrative costs of complying with a request if it is manifestly unfounded or excessive, or if an individual requests further copies of their data.
Where an exemption applies, the Charity may refuse to provide all or some of the requested information, depending on the circumstances. We can also refuse to comply with a SAR if it is manifestly unfounded or manifestly excessive.
The charity will consider if a third party makes a request on behalf of an individual and makes sufficient provisions to verify the third parties request is legitimate and lawful.
There may be circumstances in which we can extend the time limit to respond to a request.
The Charity will assess whether a child is mature enough to understand their rights and that there is a particular emphasis on using clear and plain language if we are disclosing information to a child.
If our search contains information about others, we have provisions to protect their privacy.
The Charity will deliver the information securely to an individual, and in the correct format.
How to complain
If you have any concerns about our use of your personal information, you can make a complaint to us at [Insert your organisation’s contact details for data protection queries].
You can also complain to the ICO if you are unhappy with how we have used your data.
The ICO’s address:            
Information Commissioner’s Office
Wycliffe House
Water Lane
Wilmslow
Cheshire
SK9 5AF
Helpline number: 0303 123 1113
ICO website: https://www.ico.org.uk</t>
  </si>
  <si>
    <t>This Third-Party Supplier Policy outlines the guidelines and procedures that the Charity follows when engaging third-party suppliers to process personal data on our behalf. This policy is designed to ensure compliance with the UK GDPR and to protect the privacy and security of personal data.
When engaging third-party suppliers to process personal data on our behalf, the Charity will ensure that appropriate safeguards are in place to protect personal data. This may involve conducting due diligence on their data protection practices, ensuring that appropriate data processing agreements are in place, and monitoring their compliance with the UK GDPR.
The Charity will conduct due diligence on all third-party suppliers to ensure that they are capable of processing personal data in a manner that complies with the UK GDPR. This may involve reviewing their data protection policies, procedures, and controls, as well as their compliance with relevant privacy laws and regulations.
The Charity will ensure that appropriate data processing agreements are in place with all third-party suppliers that process personal data on our behalf. These agreements will specify the purposes and duration of data processing, the types of personal data being processed, the security measures in place to protect personal data, and the rights and obligations of both parties.
The Charity will monitor the compliance of third-party suppliers with the UK GDPR and any applicable data processing agreements. This may involve conducting audits or assessments of their data protection practices, as well as reviewing their incident response and breach notification procedures.
In the event of a privacy incident or data breach involving a third-party supplier, the Charity will follow our incident response procedures, which may include notifying affected individuals and the relevant supervisory authority, as well as terminating the data processing agreement if necessary.
The Charity takes the protection of personal data seriously and is committed to complying with the UK GDPR when engaging third-party suppliers to process personal data on our behalf. By following these guidelines and procedures, we can ensure that personal data is processed lawfully, fairly, and transparently.</t>
  </si>
  <si>
    <t>This Policy ensure all employees and volunteers receive appropriate training about our privacy programme, including what its goals are, what it requires people to do and what responsibilities they have. 
The training will be relevant, accurate and up to date. Training and awareness are key to putting into practice our policies, procedures and measures.
Our training incorporates national and charity-specific requirements, including the management of special category data.
Our training is comprehensive and includes training for all staff on key areas of data protection such as handling requests, data sharing, information security, personal data breaches and records management.
The Charity assigns responsibilities for managing information governance and data protection training across our organisation and has training plans or strategies in place to meet training needs within agreed timescales.
Our training programme includes induction and refresher training for all staff on data protection and information governance.
The Charity regularly raises awareness across all staff of data protection, information governance and associated policies and procedures in meetings or staff forums and make it easy for staff to access relevant material.
For those specialised roles or functions with key data protection responsibilities (such as DPOs, subject access and records management teams) they will receive additional training and professional development beyond the basic level provided to all staff.
This Policy is reviewed regularly to ensure that it remains accurate and up to date.</t>
  </si>
  <si>
    <t>Preparing for a personal data breach:
The Charity maintains procedures and controls to recognise a personal data breach and we understand that a personal data breach isn’t only about loss or theft of personal data.
A response plan for addressing any personal data breaches that occur is reviewed and updated regularly.
The Charity has allocated responsibility for managing breaches to our IT support teams and our staff know how to escalate a security incident to the appropriate person or team in our organisation to determine whether a breach has occurred.
Responding to a personal data breach:
Upon becoming aware of a breach, the Charity has in place a process to assess the likely risk to individuals because of a breach and has a process to inform affected individuals about a breach when their rights and freedoms are at high risk.
Affected individuals will be notified without undue delay. 
The Charity knows who the relevant supervisory authority for our processing activities is and has a process to notify the Information Commissioners Office (ICO) of a breach within 72 hours of becoming aware of it, even if we do not have all the details yet. The Charity knows what information to give to the ICO about a breach.
The Charity knows what information about a breach we must provide to individuals, and that we should provide advice to help them protect themselves from its effects.
All breaches are documented, even if they don’t all need to be reported.</t>
  </si>
  <si>
    <t>Purpose: This Access Control Procedure outlines the procedures and guidelines that our organization follows to manage access to information and information systems. The purpose of this procedure is to ensure that access to information and information systems is granted only to authorized individuals and that the confidentiality, integrity, and availability of information is protected.
Scope: This procedure applies to all employees, contractors, and third-party suppliers who access our organization's information and information systems.
Access Control Guidelines:
Access to information and information systems will be granted only to authorised individuals who have a legitimate business need to access the information or system.
Access will be granted based on the principle of least privilege, which means that individuals will be granted the minimum level of access necessary to perform their job responsibilities.
Access rights will be reviewed regularly to ensure that they are still necessary and appropriate.
All individuals who are granted access to information and information systems will be required to sign an access agreement that outlines their responsibilities for protecting the confidentiality, integrity, and availability of information.
Passwords will be required to access information and information systems, and password complexity and expiration policies will be enforced.
Multi-factor authentication will be used for remote access to information and information systems.
Access to information and information systems will be monitored, and audit logs will be reviewed regularly to detect any unauthorized access.
All individuals who leave our organization will have their access rights revoked immediately upon departure.
Access Control Procedures:
Access requests will be submitted to the appropriate department or individual, depending on the information or system being accessed.
Access requests will be reviewed and approved by the appropriate department or individual, based on the principle of least privilege.
Access will be granted based on the approved access request and the principle of least privilege.
Access rights will be reviewed regularly to ensure that they are still necessary and appropriate, and access will be revoked if it is no longer required.
Any unauthorised access to information or information systems will be reported immediately to the appropriate department or individual, and appropriate action will be taken to prevent further unauthorized access.</t>
  </si>
  <si>
    <t>Preparation:
To prepare for incidents, compile a list of IT assets such as networks, servers and endpoints, identifying their importance and which ones are critical or hold sensitive data. Set up monitoring so you have a baseline of normal activity. Determine which types of security events should be investigated and create detailed response steps for common types of incidents.
Detection and Analysis:
Detection involves collecting data from IT systems, security tools, publicly available information and people inside and outside the organization and identifying precursors (signs that an incident may happen in the future) and indicators (data showing that an attack has happened or is happening now).
Analysis involves identifying a baseline or normal activity for the affected systems, correlating related events and seeing if and how they deviate from normal behaviour.
Containment, Eradication, and Recovery:
The goal of containment is to stop the attack before it overwhelms resources or causes damage. 
Your containment strategy will depend on the level of damage the incident can cause, the need to keep critical services available to employees and customers, and the duration of the solution—a temporary solution for a few hours, days or weeks, or a permanent solution.
As part of containment, it is important to identify the attacking host and validate its IP address. This allows you to block communication from the attacker and also identify the threat actor to understand their mode of operation, search for and block other communication channels they may be using.
In the eradication and recovery stage, after the incident has been successfully contained, you should act to remove all elements of the incident from the environment. This might include identifying all affected hosts, removing malware, and closing or resetting passwords for breached user accounts.
Finally, once the threat is eradicated, restore systems and recover normal operations as quickly as possible, taking steps to ensure the same assets are not attacked again.
Post-Incident Activity:
You should ask, investigate and document the answers to the following questions:
•	What happened, and at what times?
•	How well did the incident response team deal with the incident? Were processes followed, and were they sufficient?
•	What information was needed sooner?
•	Were any wrong actions taken that caused damage or inhibited recovery?
•	What could staff do differently next time if the same incident occurred?
•	Could staff have shared information better with other organizations or other departments?
•	Have we learned ways to prevent similar incidents in the future?
•	Have we discovered new precursors or indicators of similar incidents to watch for in the future?
•	What additional tools or resources are needed to help prevent or mitigate similar incidents?
•	Use your findings to improve the process, adjust your incident response policy, plan, and procedures, and feed the new data into the preparation stage of your incident response process.</t>
  </si>
  <si>
    <t>Request for Access:
Any individual wishing to make a request for access to their personal data must do so in writing, either by email or letter, addressed to the Data Protection Officer (DPO). The request should include the individual's full name, contact details, and any other information necessary to locate their personal data.
Verification of Identity:
The DPO will verify the identity of the individual making the request before processing the request. If the DPO is not satisfied that the requestor's identity has been sufficiently verified, they may request further information.
Search and Retrieval of Personal Data:
The DPO will identify and locate the requested personal data and retrieve it from the relevant systems or storage locations. The DPO may seek assistance from other relevant departments or individuals within the organization.
Review and Redaction:
The DPO will review the personal data to ensure that it is accurate, complete, and up to date. The DPO will redact any third-party personal data or confidential information that is not relevant to the request.
Provision of Personal Data:
Once the review and redaction process is complete, the DPO will provide the individual with a copy of their personal data. The personal data will be provided in the same format as the request.
Response Time:
The DPO will respond to the request as soon as practicable and within one month of receiving the request. If the request is particularly complex, the DPO may request an extension of up to two months and will inform the individual of the extension and the reason for it.
Fees:
There is no fee for making a request for access to personal data. However, the DPO may charge a reasonable fee if the request is manifestly unfounded or excessive, or if the individual requests further copies of the same information.
Appeals:
If the individual is not satisfied with the response to their request, they may appeal to the DPO. If the DPO's decision is still not satisfactory, the individual may escalate the matter to the Information Commissioner Office (ICO)
The ICO’s address:            
Information Commissioner’s Office
Wycliffe House
Water Lane
Wilmslow
Cheshire
SK9 5AF
Helpline number: 0303 123 1113
ICO website: https://www.ico.org.uk</t>
  </si>
  <si>
    <t>Legacy Data</t>
  </si>
  <si>
    <t>This Data Risk Register starts to build out the Charity's Article 30 responsibilities, the below is intended as a starting point and is adapted from the ICO template (see web link). Do not edit the table, as that will disable the formulas that are currently present. "Cut and paste special" this template to a new spreadsheet and edit it as appropriate. Each process of data should be documented within your Data Risk Register.</t>
  </si>
  <si>
    <t>Restricted Transfer Considerations</t>
  </si>
  <si>
    <t xml:space="preserve">Question 1:
Is The Charity planning to make a transfer of personal data outside the UK?
If no, restricted transfer does not apply. If yes, go to Q2.
Question 2:
Does The Charity need to make a restricted transfer of personal data in order to meet our purposes?
If no, you can make a transfer without any personal data. If yes, go to Q3.
Questions 3:
Is there UK ‘adequacy regulations’ about the country or territory where the receiver is located or a sector which covers the receiver?
If yes, you can make the transfer. If no, go to Q4.
Question 4:
Is The Charity putting in place one of the ‘appropriate safeguards’ referred to in the UK GDPR, such as the DTA or Binding Corporate Rules?
If yes, go to Q5. If no, go to Q6.
Question 5:
Having carried out a risk assessment (refer to the DPIA template), is The Charity satisfied that for the data subjects of the transferred data, the relevant protections under the UK data protection regime will not be undermined?
If yes, you can make the transfer. If no, go to Q6.
Question 6:
Does an exception provided for in the UK GDPR apply?
If yes, you can make the transfer. If no, you cannot make the transfer in accordance with the UK GDPR.
If you reach the end without finding a provision which permits the restricted transfer, you are unable to make that restricted transfer in accordance with the UK GDPR.
For more details refer to:
https://ico.org.uk/for-organisations/guide-to-data-protection/guide-to-the-general-data-protection-regulation-gdpr/international-transfers/ </t>
  </si>
  <si>
    <t>P.1.h</t>
  </si>
  <si>
    <t>Employee Privacy Policy actions</t>
  </si>
  <si>
    <t>Write or adapt the Employee Privacy Policy</t>
  </si>
  <si>
    <t>Present to staff for review and understanding</t>
  </si>
  <si>
    <t>Approve and apply the Employee Privacy Policy</t>
  </si>
  <si>
    <t>Restricted Transfer Considerations Actions</t>
  </si>
  <si>
    <t>Complete the questionnaire as appropriate</t>
  </si>
  <si>
    <t>Set review dates</t>
  </si>
  <si>
    <t>Incident Management Procedure Actions</t>
  </si>
  <si>
    <t>International?</t>
  </si>
  <si>
    <t>Policy</t>
  </si>
  <si>
    <t>International</t>
  </si>
  <si>
    <t>DPIA Recommendation?</t>
  </si>
  <si>
    <t>Complete a transfer risk assessment (a template is available on the ICO website)</t>
  </si>
  <si>
    <t>Confirm the legality of the transfer and all safeguarding measures are in place</t>
  </si>
  <si>
    <t>We currently collect and process the following information:
•	Personal identifiers, contacts and characteristics (for example, name and contact details as well as any other relevant information required for the Charity to deliver its services).
Most of the personal information we process is provided to us directly by you for one of the following reasons:
•	As an employee, volunteer or practitioner for our Charity
•	As a beneficiary of the services our Charity offers
•	Or as Donor or recipient of marketing activities
We also receive personal information indirectly, from the following sources in the following scenarios:
•	From any affiliated charitable donation websites, such as Just Giving
•	Or from relevant searches we make 
We use the information that you have given us to fund and supply our services.
We may share this information with our practitioners and other outsourced suppliers (for example gift aid processing) in accordance the above.
Under the UK General Data Protection Regulation (UK GDPR), the lawful bases we rely on for processing this information are:
(a) Your consent. You can remove your consent at any time. You can do this by directly contacting us.
(b) We have a contractual obligation.
(c) We have a legal obligation.
(d) We have a legitimate interest.
Your information is securely stored and retain your records as per our Data Retention and Destruction Policy. We will then securely dispose your information once the retention period is met, or we no longer require it (whichever is shortest).
Under data protection law, you have rights including:
•	Your right of access - You have the right to ask us for copies of your personal information. 
•	Your right to rectification - You have the right to ask us to rectify personal information you think is inaccurate. You also have the right to ask us to complete information you think is incomplete. 
•	Your right to erasure - You have the right to ask us to erase your personal information in certain circumstances. 
•	Your right to restriction of processing - You have the right to ask us to restrict the processing of your personal information in certain circumstances. 
•	Your right to object to processing - You have the  right to object to the processing of your personal information in certain circumstances.
•	Your right to data portability - You have the right to ask that we transfer the personal information you gave us to another organisation, or to you, in certain circumstances.
You are not required to pay any charge for exercising your rights. If you make a request, we have one month to respond to you.
Please contact us if you wish to make a request.
How to complain
If you have any concerns about our use of your personal information, you can make a complaint to us at [Insert your organisation’s contact details for data protection queries].
You can also complain to the ICO if you are unhappy with how we have used your data.
The ICO’s address:            
Information Commissioner’s Office
Wycliffe House
Water Lane
Wilmslow
Cheshire
SK9 5AF
Helpline number: 0303 123 1113
ICO website: https://www.ico.org.uk</t>
  </si>
  <si>
    <r>
      <t xml:space="preserve">Introduction
This Privacy Policy explains how we collect, use, and protect your personal data as an employee of The Charity. We are committed to protecting your privacy and complying with the UK General Data Protection Regulation (GDPR).
</t>
    </r>
    <r>
      <rPr>
        <b/>
        <sz val="11"/>
        <color theme="1"/>
        <rFont val="Calibri"/>
        <family val="2"/>
        <scheme val="minor"/>
      </rPr>
      <t xml:space="preserve">Personal data we collect.
</t>
    </r>
    <r>
      <rPr>
        <sz val="11"/>
        <color theme="1"/>
        <rFont val="Calibri"/>
        <family val="2"/>
        <scheme val="minor"/>
      </rPr>
      <t xml:space="preserve">We may collect and process the following personal data about you:
•	Your name, contact details, and employment history.
•	Your job title, department, and line manager.
•	Your salary, benefits, and other employment-related information.
•	Information about your performance, training, and development.
•	Any other information that you provide to us during the course of your employment.
</t>
    </r>
    <r>
      <rPr>
        <b/>
        <sz val="11"/>
        <color theme="1"/>
        <rFont val="Calibri"/>
        <family val="2"/>
        <scheme val="minor"/>
      </rPr>
      <t xml:space="preserve">How we use your personal data
</t>
    </r>
    <r>
      <rPr>
        <sz val="11"/>
        <color theme="1"/>
        <rFont val="Calibri"/>
        <family val="2"/>
        <scheme val="minor"/>
      </rPr>
      <t xml:space="preserve">We use your personal data for the following purposes:
•	To manage your employment contract with us, including paying your salary and providing benefits.
•	To monitor your performance and provide feedback and training.
•	To comply with legal and regulatory requirements, such as tax and immigration laws.
•	To communicate with you about your employment, including providing updates and announcements.
•	To ensure the security of our IT systems and data, and prevent fraud and other illegal activities.
</t>
    </r>
    <r>
      <rPr>
        <b/>
        <sz val="11"/>
        <color theme="1"/>
        <rFont val="Calibri"/>
        <family val="2"/>
        <scheme val="minor"/>
      </rPr>
      <t xml:space="preserve">Legal basis for processing
</t>
    </r>
    <r>
      <rPr>
        <sz val="11"/>
        <color theme="1"/>
        <rFont val="Calibri"/>
        <family val="2"/>
        <scheme val="minor"/>
      </rPr>
      <t xml:space="preserve">We process your personal data on the following legal bases:
•	To perform our contractual obligations to you as an employee.
•	To comply with our legal and regulatory obligations.
•	To pursue our legitimate interests in managing our business and employment relationships.
</t>
    </r>
    <r>
      <rPr>
        <b/>
        <sz val="11"/>
        <color theme="1"/>
        <rFont val="Calibri"/>
        <family val="2"/>
        <scheme val="minor"/>
      </rPr>
      <t xml:space="preserve">Data sharing and transfers
</t>
    </r>
    <r>
      <rPr>
        <sz val="11"/>
        <color theme="1"/>
        <rFont val="Calibri"/>
        <family val="2"/>
        <scheme val="minor"/>
      </rPr>
      <t xml:space="preserve">We may share your personal data with the following third parties:
•	Our service providers, such as payroll and benefits providers.
•	Regulators and other government authorities, as required by law.
•	Our professional advisors, such as lawyers and accountants.
We may also transfer your personal data to countries outside the European Economic Area (EEA), if necessary for the purposes described above. In such cases, we will ensure that appropriate safeguards are in place to protect your privacy rights.
</t>
    </r>
    <r>
      <rPr>
        <b/>
        <sz val="11"/>
        <color theme="1"/>
        <rFont val="Calibri"/>
        <family val="2"/>
        <scheme val="minor"/>
      </rPr>
      <t>Data retention</t>
    </r>
    <r>
      <rPr>
        <sz val="11"/>
        <color theme="1"/>
        <rFont val="Calibri"/>
        <family val="2"/>
        <scheme val="minor"/>
      </rPr>
      <t xml:space="preserve">
We will retain your personal data for as long as necessary to fulfil the purposes for which it was collected, including for any legal or regulatory requirements. After that, we will securely delete or anonymize your personal data.
</t>
    </r>
    <r>
      <rPr>
        <b/>
        <sz val="11"/>
        <color theme="1"/>
        <rFont val="Calibri"/>
        <family val="2"/>
        <scheme val="minor"/>
      </rPr>
      <t>Your rights</t>
    </r>
    <r>
      <rPr>
        <sz val="11"/>
        <color theme="1"/>
        <rFont val="Calibri"/>
        <family val="2"/>
        <scheme val="minor"/>
      </rPr>
      <t xml:space="preserve">
You have the following rights in relation to your personal data:
•	To access your personal data and receive a copy.
•	To request correction of your personal data if it is inaccurate or incomplete.
•	To request erasure of your personal data in certain circumstances.
•	To restrict or object to the processing of your personal data in certain circumstances.
•	To request transfer of your personal data to another party in certain circumstances.
•	To withdraw your consent to processing, if processing is based on consent.
•	To exercise these rights, please contact [insert contact details]. We will respond to your request within one month.
</t>
    </r>
    <r>
      <rPr>
        <b/>
        <sz val="11"/>
        <color theme="1"/>
        <rFont val="Calibri"/>
        <family val="2"/>
        <scheme val="minor"/>
      </rPr>
      <t>Security</t>
    </r>
    <r>
      <rPr>
        <sz val="11"/>
        <color theme="1"/>
        <rFont val="Calibri"/>
        <family val="2"/>
        <scheme val="minor"/>
      </rPr>
      <t xml:space="preserve">
We have implemented appropriate technical and organizational measures to protect your personal data against unauthorized or unlawful processing, and against accidental loss, destruction, or damage.
</t>
    </r>
    <r>
      <rPr>
        <b/>
        <sz val="11"/>
        <color theme="1"/>
        <rFont val="Calibri"/>
        <family val="2"/>
        <scheme val="minor"/>
      </rPr>
      <t>Updates to this Privacy Policy</t>
    </r>
    <r>
      <rPr>
        <sz val="11"/>
        <color theme="1"/>
        <rFont val="Calibri"/>
        <family val="2"/>
        <scheme val="minor"/>
      </rPr>
      <t xml:space="preserve">
We may update this Privacy Policy from time to time to reflect changes in our business or legal requirements. We will notify you of any material changes.
If you have any questions or concerns about this Privacy Policy, please contact [insert contact details].</t>
    </r>
  </si>
  <si>
    <t>International consideration?</t>
  </si>
  <si>
    <t>P.3 - Special Category or International Data</t>
  </si>
  <si>
    <t xml:space="preserve"> Please review Restricted Transfer Considerations in P.2.e above</t>
  </si>
  <si>
    <t>From the responses provided there does not appear to be any international transfer of personal data outside of the European Economic Area (EAA) and therefore there is no requirements to complete a Data Transfer Impact Assessment (DTIA)</t>
  </si>
  <si>
    <t>1) The framework has the data types that your charity gathers, this sheet will ask you a series of questions on how you collect the data and the applications that you use in order to process the data to provide your services.</t>
  </si>
  <si>
    <t>3) It is anticipated electronic personal data is captured, stored and processed in a couple of ways, or a combination of both. Either "structured data" that is stored within a database or a cloud application; or "unstructured data", which might be the electronic form that you collect the data in the first instance. This could be a pre-built template; this file may then be stored centrally as well as being used to upload data into an appropriate application to process.</t>
  </si>
  <si>
    <t>It</t>
  </si>
  <si>
    <t>Original ICO DPIA Template can be found here:</t>
  </si>
  <si>
    <t>DTIA Template download is available here:</t>
  </si>
  <si>
    <r>
      <t xml:space="preserve">This template is an example of how to record your Data Processing Impact Assessment (DPIA) process and outcomes and is adapted from the ICO template. It follows the process set out in the EU DPIA guidance (click </t>
    </r>
    <r>
      <rPr>
        <sz val="11"/>
        <color rgb="FF0070C0"/>
        <rFont val="Webdings"/>
        <family val="1"/>
        <charset val="2"/>
      </rPr>
      <t>ü</t>
    </r>
    <r>
      <rPr>
        <sz val="11"/>
        <color theme="1"/>
        <rFont val="Calibri"/>
        <family val="2"/>
        <scheme val="minor"/>
      </rPr>
      <t xml:space="preserve"> next to introduction) for DPIAs. Complete this template at the start of any major project involving the use of personal data, or if you are making a significant change to an existing process. The final outcomes should be integrated back into your project plan.</t>
    </r>
  </si>
  <si>
    <t>To complete a Data Transfer Impact Assessment (DTIA), you are essentially following a similar process and could use the DPIA form to justify your requirements for personal data to be processed outside of the EAA. However, the ICO template is an excellent resource and the link is provided below (it will download as a .doc document).</t>
  </si>
  <si>
    <t>Privacy by design &amp; default:</t>
  </si>
  <si>
    <t>This framework is not a click once and forget, the vision is to highlight obligations of the charity to ensure privacy as an evolving requirement</t>
  </si>
  <si>
    <t>Therefore, Privacy Essentials! initiates (or complements) your efforts to ensure compliance to personal data management</t>
  </si>
  <si>
    <t>Is trustee data processed by a 3rd party (see notes)?</t>
  </si>
  <si>
    <t>Restricted Transfer Considerations:</t>
  </si>
  <si>
    <t>This tool has been supported by a number of people within the charity sector, in the channel or from Bournemouth University, they know who they are and without their sage advice, Privacy Essentials! could not have been achieved. You have my sincere appreciation.</t>
  </si>
  <si>
    <t xml:space="preserve">Cloud Application (within UK/EU) </t>
  </si>
  <si>
    <t>Cloud Application (outside EU/UK)</t>
  </si>
  <si>
    <t>Enter your Charity name here</t>
  </si>
  <si>
    <t>Enter your charity number here</t>
  </si>
  <si>
    <t>This framework will take time to complete, and could be undertaken a management session to ensure the accuracy and completeness.</t>
  </si>
  <si>
    <r>
      <t xml:space="preserve">If you collect and use personal data fairly and lawfully, you cannot keep it for longer than you actually need it. Timeframes can be adjusted in R.2 or overriden in R.1 - original staturory times are preserved in the </t>
    </r>
    <r>
      <rPr>
        <sz val="11"/>
        <color rgb="FF0070C0"/>
        <rFont val="Webdings"/>
        <family val="1"/>
        <charset val="2"/>
      </rPr>
      <t>i</t>
    </r>
    <r>
      <rPr>
        <sz val="11"/>
        <color theme="1"/>
        <rFont val="Calibri"/>
        <family val="2"/>
        <scheme val="minor"/>
      </rPr>
      <t xml:space="preserve"> notes.
There are close links here with the data minimisation and accuracy principles.
The UK GDPR does not set specific time limits for different types of data. This is up to you, and will depend on how long you need the data for your specified purposes.</t>
    </r>
  </si>
  <si>
    <t>P.2.e</t>
  </si>
  <si>
    <t>DTIA</t>
  </si>
  <si>
    <t>Variable</t>
  </si>
  <si>
    <t>SAR Request</t>
  </si>
  <si>
    <t>SAR Request Data</t>
  </si>
  <si>
    <t>1 Year following request</t>
  </si>
  <si>
    <t>2 Years after Donor's death</t>
  </si>
  <si>
    <t>1 Year after leaving</t>
  </si>
  <si>
    <t>3 Years after last donation</t>
  </si>
  <si>
    <t>2 Years</t>
  </si>
  <si>
    <t>7 Years</t>
  </si>
  <si>
    <t>6 Months from campaign</t>
  </si>
  <si>
    <t>R.1.a</t>
  </si>
  <si>
    <t>R.1.b</t>
  </si>
  <si>
    <t>R.1.c</t>
  </si>
  <si>
    <t>R.1.d</t>
  </si>
  <si>
    <t>R.1.e</t>
  </si>
  <si>
    <t>R.1.f</t>
  </si>
  <si>
    <t>R.1.g</t>
  </si>
  <si>
    <t>R.1.h</t>
  </si>
  <si>
    <t>R.1.i</t>
  </si>
  <si>
    <t>R.1.j</t>
  </si>
  <si>
    <t>R.1.k</t>
  </si>
  <si>
    <t>R.1.l</t>
  </si>
  <si>
    <t>R.1.m</t>
  </si>
  <si>
    <t>R.1.n</t>
  </si>
  <si>
    <t>R.1.o</t>
  </si>
  <si>
    <t>R.1.p</t>
  </si>
  <si>
    <t>R.2.a</t>
  </si>
  <si>
    <t>R.2.b</t>
  </si>
  <si>
    <t>R.2.c</t>
  </si>
  <si>
    <t>R.2.d</t>
  </si>
  <si>
    <t>R.2.e</t>
  </si>
  <si>
    <t>R.2.f</t>
  </si>
  <si>
    <t>R.2.g</t>
  </si>
  <si>
    <t>R.2.h</t>
  </si>
  <si>
    <t>R.2.i</t>
  </si>
  <si>
    <t>R.2.j</t>
  </si>
  <si>
    <t>R.2.k</t>
  </si>
  <si>
    <t>R.2.l</t>
  </si>
  <si>
    <t>R.2.m</t>
  </si>
  <si>
    <t>DPIA(1) or DTIA(2)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</si>
</sst>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2">
    <font>
      <sz val="11"/>
      <color theme="1"/>
      <name val="Calibri"/>
      <family val="2"/>
      <scheme val="minor"/>
    </font>
    <font>
      <b/>
      <sz val="11"/>
      <color theme="1"/>
      <name val="Calibri"/>
      <family val="2"/>
      <scheme val="minor"/>
    </font>
    <font>
      <b/>
      <sz val="14"/>
      <color theme="1"/>
      <name val="Calibri"/>
      <family val="2"/>
      <scheme val="minor"/>
    </font>
    <font>
      <sz val="11"/>
      <color rgb="FF7030A0"/>
      <name val="Calibri"/>
      <family val="2"/>
      <scheme val="minor"/>
    </font>
    <font>
      <sz val="11"/>
      <color theme="1"/>
      <name val="Webdings"/>
      <family val="1"/>
      <charset val="2"/>
    </font>
    <font>
      <sz val="11"/>
      <color rgb="FF7030A0"/>
      <name val="Webdings"/>
      <family val="1"/>
      <charset val="2"/>
    </font>
    <font>
      <sz val="9"/>
      <color indexed="81"/>
      <name val="Tahoma"/>
      <family val="2"/>
    </font>
    <font>
      <b/>
      <sz val="9"/>
      <color indexed="81"/>
      <name val="Tahoma"/>
      <family val="2"/>
    </font>
    <font>
      <sz val="9"/>
      <color indexed="81"/>
      <name val="Webdings"/>
      <family val="1"/>
      <charset val="2"/>
    </font>
    <font>
      <u/>
      <sz val="11"/>
      <color theme="10"/>
      <name val="Calibri"/>
      <family val="2"/>
      <scheme val="minor"/>
    </font>
    <font>
      <b/>
      <sz val="11"/>
      <color theme="0"/>
      <name val="Calibri"/>
      <family val="2"/>
      <scheme val="minor"/>
    </font>
    <font>
      <sz val="11"/>
      <color theme="0"/>
      <name val="Calibri"/>
      <family val="2"/>
      <scheme val="minor"/>
    </font>
    <font>
      <b/>
      <sz val="11"/>
      <color rgb="FF7030A0"/>
      <name val="Calibri"/>
      <family val="2"/>
      <scheme val="minor"/>
    </font>
    <font>
      <b/>
      <sz val="11"/>
      <color rgb="FFC00000"/>
      <name val="Calibri"/>
      <family val="2"/>
      <scheme val="minor"/>
    </font>
    <font>
      <i/>
      <sz val="11"/>
      <color theme="1"/>
      <name val="Calibri"/>
      <family val="2"/>
      <scheme val="minor"/>
    </font>
    <font>
      <b/>
      <sz val="14"/>
      <color theme="0"/>
      <name val="Calibri"/>
      <family val="2"/>
      <scheme val="minor"/>
    </font>
    <font>
      <sz val="11"/>
      <color rgb="FF0070C0"/>
      <name val="Calibri"/>
      <family val="2"/>
      <scheme val="minor"/>
    </font>
    <font>
      <b/>
      <sz val="11"/>
      <color rgb="FF0070C0"/>
      <name val="Calibri"/>
      <family val="2"/>
      <scheme val="minor"/>
    </font>
    <font>
      <sz val="11"/>
      <color theme="10"/>
      <name val="Webdings"/>
      <family val="1"/>
      <charset val="2"/>
    </font>
    <font>
      <sz val="9"/>
      <color theme="1"/>
      <name val="Calibri"/>
      <family val="2"/>
      <scheme val="minor"/>
    </font>
    <font>
      <sz val="9"/>
      <color theme="1" tint="0.249977111117893"/>
      <name val="Cascadia Mono SemiLight"/>
      <family val="3"/>
    </font>
    <font>
      <i/>
      <sz val="11"/>
      <color rgb="FFC00000"/>
      <name val="Calibri"/>
      <family val="2"/>
      <scheme val="minor"/>
    </font>
    <font>
      <b/>
      <sz val="11"/>
      <color rgb="FF00B0F0"/>
      <name val="Calibri"/>
      <family val="2"/>
      <scheme val="minor"/>
    </font>
    <font>
      <sz val="8"/>
      <color theme="1" tint="0.249977111117893"/>
      <name val="Cascadia Mono SemiLight"/>
      <family val="3"/>
    </font>
    <font>
      <sz val="8"/>
      <color rgb="FF0070C0"/>
      <name val="Cascadia Mono SemiLight"/>
      <family val="3"/>
    </font>
    <font>
      <sz val="9"/>
      <color rgb="FF0070C0"/>
      <name val="Cascadia Mono SemiLight"/>
      <family val="3"/>
    </font>
    <font>
      <sz val="11"/>
      <name val="Calibri"/>
      <family val="2"/>
      <scheme val="minor"/>
    </font>
    <font>
      <sz val="11"/>
      <color rgb="FF0070C0"/>
      <name val="Webdings"/>
      <family val="1"/>
      <charset val="2"/>
    </font>
    <font>
      <b/>
      <sz val="16"/>
      <color theme="1"/>
      <name val="Calibri"/>
      <family val="2"/>
      <scheme val="minor"/>
    </font>
    <font>
      <b/>
      <sz val="11"/>
      <name val="Calibri"/>
      <family val="2"/>
      <scheme val="minor"/>
    </font>
    <font>
      <sz val="12"/>
      <color theme="1"/>
      <name val="Calibri"/>
      <family val="2"/>
      <scheme val="minor"/>
    </font>
    <font>
      <sz val="11"/>
      <color theme="1"/>
      <name val="Calibri"/>
      <family val="2"/>
      <scheme val="minor"/>
    </font>
    <font>
      <sz val="11.5"/>
      <color theme="1"/>
      <name val="Calibri"/>
      <family val="2"/>
      <scheme val="minor"/>
    </font>
    <font>
      <b/>
      <sz val="14"/>
      <color rgb="FF000000"/>
      <name val="Calibri"/>
      <family val="2"/>
      <scheme val="minor"/>
    </font>
    <font>
      <sz val="11"/>
      <color theme="10"/>
      <name val="Calibri"/>
      <family val="2"/>
      <scheme val="minor"/>
    </font>
    <font>
      <i/>
      <u/>
      <sz val="11"/>
      <color theme="10"/>
      <name val="Calibri"/>
      <family val="2"/>
      <scheme val="minor"/>
    </font>
    <font>
      <sz val="14"/>
      <color rgb="FF0070C0"/>
      <name val="Webdings"/>
      <family val="1"/>
      <charset val="2"/>
    </font>
    <font>
      <i/>
      <sz val="11"/>
      <color rgb="FF000000"/>
      <name val="Calibri"/>
      <family val="2"/>
      <scheme val="minor"/>
    </font>
    <font>
      <i/>
      <sz val="11"/>
      <color theme="10"/>
      <name val="Calibri"/>
      <family val="2"/>
      <scheme val="minor"/>
    </font>
    <font>
      <i/>
      <sz val="10"/>
      <color rgb="FFC00000"/>
      <name val="Calibri"/>
      <family val="2"/>
      <scheme val="minor"/>
    </font>
    <font>
      <sz val="14"/>
      <color theme="10"/>
      <name val="Webdings"/>
      <family val="1"/>
      <charset val="2"/>
    </font>
    <font>
      <sz val="11"/>
      <color theme="8" tint="0.39997558519241921"/>
      <name val="Calibri"/>
      <family val="2"/>
      <scheme val="minor"/>
    </font>
    <font>
      <b/>
      <sz val="12"/>
      <name val="Wingdings"/>
      <charset val="2"/>
    </font>
    <font>
      <sz val="9"/>
      <color theme="1" tint="0.249977111117893"/>
      <name val="Cascadia Code"/>
      <family val="3"/>
    </font>
    <font>
      <sz val="12"/>
      <color theme="10"/>
      <name val="Webdings"/>
      <family val="1"/>
      <charset val="2"/>
    </font>
    <font>
      <b/>
      <sz val="12"/>
      <color rgb="FF0070C0"/>
      <name val="Calibri"/>
      <family val="2"/>
      <scheme val="minor"/>
    </font>
    <font>
      <sz val="12"/>
      <color rgb="FF0070C0"/>
      <name val="Webdings"/>
      <family val="1"/>
      <charset val="2"/>
    </font>
    <font>
      <sz val="11"/>
      <color rgb="FFC00000"/>
      <name val="Calibri"/>
      <family val="2"/>
      <scheme val="minor"/>
    </font>
    <font>
      <b/>
      <sz val="12"/>
      <color theme="1"/>
      <name val="Wingdings"/>
      <charset val="2"/>
    </font>
    <font>
      <sz val="9"/>
      <color theme="1" tint="0.249977111117893"/>
      <name val="Cascadia Code SemiLight"/>
      <family val="3"/>
    </font>
    <font>
      <sz val="11"/>
      <color rgb="FFC00000"/>
      <name val="Wingdings"/>
      <charset val="2"/>
    </font>
    <font>
      <sz val="11"/>
      <color theme="1"/>
      <name val="Calibri"/>
      <family val="1"/>
      <charset val="2"/>
      <scheme val="minor"/>
    </font>
  </fonts>
  <fills count="14">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149998474074526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0.24994659260841701"/>
        <bgColor indexed="64"/>
      </patternFill>
    </fill>
    <fill>
      <patternFill patternType="solid">
        <fgColor theme="8" tint="-0.249977111117893"/>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1" tint="0.499984740745262"/>
      </left>
      <right/>
      <top style="medium">
        <color theme="1" tint="0.499984740745262"/>
      </top>
      <bottom style="medium">
        <color theme="0"/>
      </bottom>
      <diagonal/>
    </border>
    <border>
      <left/>
      <right style="medium">
        <color theme="0"/>
      </right>
      <top style="medium">
        <color theme="1" tint="0.499984740745262"/>
      </top>
      <bottom style="medium">
        <color theme="0"/>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1" tint="0.24994659260841701"/>
      </left>
      <right/>
      <top style="medium">
        <color theme="1" tint="0.24994659260841701"/>
      </top>
      <bottom style="medium">
        <color theme="0"/>
      </bottom>
      <diagonal/>
    </border>
    <border>
      <left/>
      <right/>
      <top style="medium">
        <color theme="1" tint="0.24994659260841701"/>
      </top>
      <bottom style="medium">
        <color theme="0"/>
      </bottom>
      <diagonal/>
    </border>
    <border>
      <left/>
      <right style="medium">
        <color theme="0"/>
      </right>
      <top style="medium">
        <color theme="1" tint="0.24994659260841701"/>
      </top>
      <bottom style="medium">
        <color theme="0"/>
      </bottom>
      <diagonal/>
    </border>
    <border>
      <left style="medium">
        <color theme="1" tint="0.34998626667073579"/>
      </left>
      <right/>
      <top style="medium">
        <color theme="1" tint="0.34998626667073579"/>
      </top>
      <bottom style="medium">
        <color theme="0"/>
      </bottom>
      <diagonal/>
    </border>
    <border>
      <left/>
      <right/>
      <top style="medium">
        <color theme="1" tint="0.34998626667073579"/>
      </top>
      <bottom style="medium">
        <color theme="0"/>
      </bottom>
      <diagonal/>
    </border>
    <border>
      <left/>
      <right style="medium">
        <color theme="0"/>
      </right>
      <top style="medium">
        <color theme="1" tint="0.34998626667073579"/>
      </top>
      <bottom style="medium">
        <color theme="0"/>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0"/>
      </right>
      <top style="medium">
        <color theme="1" tint="0.34998626667073579"/>
      </top>
      <bottom/>
      <diagonal/>
    </border>
    <border>
      <left style="medium">
        <color theme="1" tint="0.34998626667073579"/>
      </left>
      <right/>
      <top/>
      <bottom/>
      <diagonal/>
    </border>
    <border>
      <left/>
      <right style="medium">
        <color theme="0"/>
      </right>
      <top/>
      <bottom/>
      <diagonal/>
    </border>
    <border>
      <left style="medium">
        <color theme="1" tint="0.34998626667073579"/>
      </left>
      <right/>
      <top/>
      <bottom style="medium">
        <color theme="0"/>
      </bottom>
      <diagonal/>
    </border>
    <border>
      <left/>
      <right/>
      <top/>
      <bottom style="medium">
        <color theme="0"/>
      </bottom>
      <diagonal/>
    </border>
    <border>
      <left/>
      <right style="medium">
        <color theme="0"/>
      </right>
      <top/>
      <bottom style="medium">
        <color theme="0"/>
      </bottom>
      <diagonal/>
    </border>
    <border>
      <left/>
      <right style="thin">
        <color theme="1" tint="0.34998626667073579"/>
      </right>
      <top/>
      <bottom/>
      <diagonal/>
    </border>
    <border>
      <left style="thin">
        <color theme="1" tint="0.34998626667073579"/>
      </left>
      <right style="thin">
        <color theme="1" tint="0.34998626667073579"/>
      </right>
      <top/>
      <bottom/>
      <diagonal/>
    </border>
    <border>
      <left style="thin">
        <color theme="1" tint="0.34998626667073579"/>
      </left>
      <right/>
      <top/>
      <bottom/>
      <diagonal/>
    </border>
    <border>
      <left style="medium">
        <color theme="1" tint="0.34998626667073579"/>
      </left>
      <right style="thin">
        <color theme="1" tint="0.34998626667073579"/>
      </right>
      <top style="medium">
        <color theme="1" tint="0.34998626667073579"/>
      </top>
      <bottom/>
      <diagonal/>
    </border>
    <border>
      <left style="thin">
        <color theme="1" tint="0.34998626667073579"/>
      </left>
      <right style="thin">
        <color theme="1" tint="0.34998626667073579"/>
      </right>
      <top style="medium">
        <color theme="1" tint="0.34998626667073579"/>
      </top>
      <bottom/>
      <diagonal/>
    </border>
    <border>
      <left style="medium">
        <color theme="1" tint="0.34998626667073579"/>
      </left>
      <right style="thin">
        <color theme="1" tint="0.34998626667073579"/>
      </right>
      <top/>
      <bottom/>
      <diagonal/>
    </border>
    <border>
      <left style="thin">
        <color theme="1" tint="0.34998626667073579"/>
      </left>
      <right/>
      <top/>
      <bottom style="medium">
        <color theme="1" tint="0.34998626667073579"/>
      </bottom>
      <diagonal/>
    </border>
    <border>
      <left/>
      <right style="thin">
        <color theme="1" tint="0.34998626667073579"/>
      </right>
      <top/>
      <bottom style="medium">
        <color theme="1" tint="0.34998626667073579"/>
      </bottom>
      <diagonal/>
    </border>
    <border>
      <left style="thin">
        <color theme="1" tint="0.34998626667073579"/>
      </left>
      <right/>
      <top style="medium">
        <color theme="1" tint="0.34998626667073579"/>
      </top>
      <bottom/>
      <diagonal/>
    </border>
    <border>
      <left/>
      <right style="thin">
        <color theme="1" tint="0.34998626667073579"/>
      </right>
      <top style="medium">
        <color theme="1" tint="0.34998626667073579"/>
      </top>
      <bottom/>
      <diagonal/>
    </border>
    <border>
      <left/>
      <right style="medium">
        <color theme="1" tint="0.34998626667073579"/>
      </right>
      <top style="medium">
        <color theme="1" tint="0.34998626667073579"/>
      </top>
      <bottom/>
      <diagonal/>
    </border>
    <border>
      <left/>
      <right style="medium">
        <color theme="1" tint="0.34998626667073579"/>
      </right>
      <top/>
      <bottom/>
      <diagonal/>
    </border>
    <border>
      <left style="medium">
        <color theme="1" tint="0.34998626667073579"/>
      </left>
      <right style="thin">
        <color theme="1" tint="0.34998626667073579"/>
      </right>
      <top/>
      <bottom style="medium">
        <color theme="1" tint="0.34998626667073579"/>
      </bottom>
      <diagonal/>
    </border>
    <border>
      <left style="thin">
        <color theme="1" tint="0.34998626667073579"/>
      </left>
      <right style="thin">
        <color theme="1" tint="0.34998626667073579"/>
      </right>
      <top/>
      <bottom style="medium">
        <color theme="1" tint="0.34998626667073579"/>
      </bottom>
      <diagonal/>
    </border>
    <border>
      <left/>
      <right style="medium">
        <color theme="1" tint="0.34998626667073579"/>
      </right>
      <top/>
      <bottom style="medium">
        <color theme="1" tint="0.34998626667073579"/>
      </bottom>
      <diagonal/>
    </border>
    <border>
      <left/>
      <right style="thin">
        <color theme="1" tint="0.34998626667073579"/>
      </right>
      <top/>
      <bottom style="medium">
        <color theme="0"/>
      </bottom>
      <diagonal/>
    </border>
    <border>
      <left style="thin">
        <color theme="1" tint="0.34998626667073579"/>
      </left>
      <right/>
      <top/>
      <bottom style="medium">
        <color theme="0"/>
      </bottom>
      <diagonal/>
    </border>
    <border>
      <left/>
      <right style="thin">
        <color indexed="64"/>
      </right>
      <top/>
      <bottom style="medium">
        <color theme="0"/>
      </bottom>
      <diagonal/>
    </border>
    <border>
      <left/>
      <right style="thin">
        <color indexed="64"/>
      </right>
      <top style="medium">
        <color theme="1" tint="0.34998626667073579"/>
      </top>
      <bottom/>
      <diagonal/>
    </border>
    <border>
      <left style="thin">
        <color indexed="64"/>
      </left>
      <right/>
      <top style="medium">
        <color theme="1" tint="0.34998626667073579"/>
      </top>
      <bottom/>
      <diagonal/>
    </border>
    <border>
      <left style="thin">
        <color indexed="64"/>
      </left>
      <right/>
      <top/>
      <bottom style="medium">
        <color theme="0"/>
      </bottom>
      <diagonal/>
    </border>
    <border>
      <left style="thin">
        <color indexed="64"/>
      </left>
      <right/>
      <top style="thin">
        <color indexed="64"/>
      </top>
      <bottom style="medium">
        <color theme="1" tint="0.34998626667073579"/>
      </bottom>
      <diagonal/>
    </border>
    <border>
      <left/>
      <right style="thin">
        <color indexed="64"/>
      </right>
      <top style="thin">
        <color indexed="64"/>
      </top>
      <bottom style="medium">
        <color theme="1" tint="0.34998626667073579"/>
      </bottom>
      <diagonal/>
    </border>
    <border>
      <left/>
      <right/>
      <top style="thin">
        <color indexed="64"/>
      </top>
      <bottom style="medium">
        <color theme="1" tint="0.34998626667073579"/>
      </bottom>
      <diagonal/>
    </border>
  </borders>
  <cellStyleXfs count="2">
    <xf numFmtId="0" fontId="0" fillId="0" borderId="0"/>
    <xf numFmtId="0" fontId="9" fillId="0" borderId="0" applyNumberFormat="0" applyFill="0" applyBorder="0" applyAlignment="0" applyProtection="0"/>
  </cellStyleXfs>
  <cellXfs count="464">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7" borderId="1" xfId="0" applyFill="1" applyBorder="1"/>
    <xf numFmtId="0" fontId="2" fillId="7" borderId="2" xfId="0" applyFont="1" applyFill="1" applyBorder="1"/>
    <xf numFmtId="0" fontId="0" fillId="7" borderId="2" xfId="0" applyFill="1" applyBorder="1"/>
    <xf numFmtId="0" fontId="0" fillId="7" borderId="3" xfId="0" applyFill="1" applyBorder="1"/>
    <xf numFmtId="0" fontId="0" fillId="7" borderId="4" xfId="0" applyFill="1" applyBorder="1"/>
    <xf numFmtId="0" fontId="0" fillId="7" borderId="0" xfId="0" applyFill="1"/>
    <xf numFmtId="0" fontId="0" fillId="7" borderId="5" xfId="0" applyFill="1" applyBorder="1"/>
    <xf numFmtId="0" fontId="0" fillId="7" borderId="6" xfId="0" applyFill="1" applyBorder="1"/>
    <xf numFmtId="0" fontId="0" fillId="7" borderId="7" xfId="0" applyFill="1" applyBorder="1"/>
    <xf numFmtId="0" fontId="0" fillId="7" borderId="8" xfId="0" applyFill="1" applyBorder="1"/>
    <xf numFmtId="0" fontId="0" fillId="5" borderId="1" xfId="0" applyFill="1" applyBorder="1"/>
    <xf numFmtId="0" fontId="2" fillId="5" borderId="2" xfId="0" applyFont="1" applyFill="1" applyBorder="1"/>
    <xf numFmtId="0" fontId="0" fillId="5" borderId="2" xfId="0" applyFill="1" applyBorder="1"/>
    <xf numFmtId="0" fontId="0" fillId="5" borderId="3" xfId="0" applyFill="1" applyBorder="1"/>
    <xf numFmtId="0" fontId="0" fillId="5" borderId="4" xfId="0" applyFill="1" applyBorder="1"/>
    <xf numFmtId="0" fontId="0" fillId="5" borderId="0" xfId="0" applyFill="1"/>
    <xf numFmtId="0" fontId="0" fillId="5" borderId="5" xfId="0" applyFill="1" applyBorder="1"/>
    <xf numFmtId="0" fontId="5" fillId="5" borderId="0" xfId="0" applyFont="1" applyFill="1"/>
    <xf numFmtId="0" fontId="0" fillId="5" borderId="6" xfId="0" applyFill="1" applyBorder="1"/>
    <xf numFmtId="0" fontId="0" fillId="5" borderId="7" xfId="0" applyFill="1" applyBorder="1"/>
    <xf numFmtId="0" fontId="0" fillId="5" borderId="8" xfId="0" applyFill="1" applyBorder="1"/>
    <xf numFmtId="0" fontId="0" fillId="4" borderId="1" xfId="0" applyFill="1" applyBorder="1"/>
    <xf numFmtId="0" fontId="2" fillId="4" borderId="2" xfId="0" applyFont="1" applyFill="1" applyBorder="1"/>
    <xf numFmtId="0" fontId="0" fillId="4" borderId="2" xfId="0" applyFill="1" applyBorder="1"/>
    <xf numFmtId="0" fontId="0" fillId="4" borderId="3" xfId="0" applyFill="1" applyBorder="1"/>
    <xf numFmtId="0" fontId="0" fillId="4" borderId="4" xfId="0" applyFill="1" applyBorder="1"/>
    <xf numFmtId="0" fontId="0" fillId="4" borderId="0" xfId="0" applyFill="1"/>
    <xf numFmtId="0" fontId="0" fillId="4" borderId="5" xfId="0" applyFill="1" applyBorder="1"/>
    <xf numFmtId="0" fontId="0" fillId="4" borderId="6" xfId="0" applyFill="1" applyBorder="1"/>
    <xf numFmtId="0" fontId="0" fillId="4" borderId="7" xfId="0" applyFill="1" applyBorder="1"/>
    <xf numFmtId="0" fontId="0" fillId="4" borderId="8" xfId="0" applyFill="1" applyBorder="1"/>
    <xf numFmtId="0" fontId="0" fillId="6" borderId="1" xfId="0" applyFill="1" applyBorder="1"/>
    <xf numFmtId="0" fontId="2" fillId="6" borderId="2" xfId="0" applyFont="1" applyFill="1" applyBorder="1"/>
    <xf numFmtId="0" fontId="0" fillId="6" borderId="2" xfId="0" applyFill="1" applyBorder="1"/>
    <xf numFmtId="0" fontId="0" fillId="6" borderId="3" xfId="0" applyFill="1" applyBorder="1"/>
    <xf numFmtId="0" fontId="0" fillId="6" borderId="4" xfId="0" applyFill="1" applyBorder="1"/>
    <xf numFmtId="0" fontId="0" fillId="6" borderId="0" xfId="0" applyFill="1"/>
    <xf numFmtId="0" fontId="0" fillId="6" borderId="5" xfId="0" applyFill="1" applyBorder="1"/>
    <xf numFmtId="0" fontId="0" fillId="6" borderId="6" xfId="0" applyFill="1" applyBorder="1"/>
    <xf numFmtId="0" fontId="0" fillId="6" borderId="7" xfId="0" applyFill="1" applyBorder="1"/>
    <xf numFmtId="0" fontId="0" fillId="6" borderId="8" xfId="0" applyFill="1" applyBorder="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14" fillId="3" borderId="0" xfId="0" applyFont="1" applyFill="1"/>
    <xf numFmtId="0" fontId="15" fillId="2" borderId="2" xfId="0" applyFont="1" applyFill="1" applyBorder="1"/>
    <xf numFmtId="0" fontId="11" fillId="2" borderId="2" xfId="0" applyFont="1" applyFill="1" applyBorder="1"/>
    <xf numFmtId="0" fontId="11" fillId="2" borderId="7" xfId="0" applyFont="1" applyFill="1" applyBorder="1"/>
    <xf numFmtId="0" fontId="1" fillId="3" borderId="0" xfId="0" applyFont="1" applyFill="1" applyAlignment="1">
      <alignment horizontal="right"/>
    </xf>
    <xf numFmtId="0" fontId="11" fillId="8" borderId="0" xfId="0" applyFont="1" applyFill="1" applyAlignment="1">
      <alignment horizontal="right"/>
    </xf>
    <xf numFmtId="0" fontId="0" fillId="9" borderId="0" xfId="0" applyFill="1" applyAlignment="1">
      <alignment horizontal="right"/>
    </xf>
    <xf numFmtId="0" fontId="20" fillId="4" borderId="4" xfId="0" applyFont="1" applyFill="1" applyBorder="1" applyAlignment="1">
      <alignment horizontal="right"/>
    </xf>
    <xf numFmtId="0" fontId="18" fillId="4" borderId="0" xfId="1" applyFont="1" applyFill="1" applyBorder="1" applyAlignment="1">
      <alignment horizontal="left" vertical="top"/>
    </xf>
    <xf numFmtId="0" fontId="21" fillId="4" borderId="7" xfId="0" applyFont="1" applyFill="1" applyBorder="1" applyAlignment="1">
      <alignment horizontal="right"/>
    </xf>
    <xf numFmtId="0" fontId="20" fillId="5" borderId="4" xfId="0" applyFont="1" applyFill="1" applyBorder="1" applyAlignment="1">
      <alignment horizontal="right"/>
    </xf>
    <xf numFmtId="0" fontId="18" fillId="5" borderId="0" xfId="1" applyFont="1" applyFill="1" applyBorder="1" applyAlignment="1">
      <alignment horizontal="left" vertical="top"/>
    </xf>
    <xf numFmtId="0" fontId="20" fillId="5" borderId="6" xfId="0" applyFont="1" applyFill="1" applyBorder="1" applyAlignment="1">
      <alignment horizontal="right"/>
    </xf>
    <xf numFmtId="0" fontId="21" fillId="5" borderId="7" xfId="0" applyFont="1" applyFill="1" applyBorder="1" applyAlignment="1">
      <alignment horizontal="right"/>
    </xf>
    <xf numFmtId="0" fontId="20" fillId="4" borderId="6" xfId="0" applyFont="1" applyFill="1" applyBorder="1" applyAlignment="1">
      <alignment horizontal="right"/>
    </xf>
    <xf numFmtId="0" fontId="0" fillId="4" borderId="7" xfId="0" applyFill="1" applyBorder="1" applyAlignment="1">
      <alignment horizontal="right"/>
    </xf>
    <xf numFmtId="0" fontId="17" fillId="4" borderId="7" xfId="0" applyFont="1" applyFill="1" applyBorder="1" applyAlignment="1">
      <alignment horizontal="left"/>
    </xf>
    <xf numFmtId="0" fontId="18" fillId="4" borderId="7" xfId="1" applyFont="1" applyFill="1" applyBorder="1" applyAlignment="1">
      <alignment horizontal="left" vertical="top"/>
    </xf>
    <xf numFmtId="0" fontId="5" fillId="4" borderId="1" xfId="0" applyFont="1" applyFill="1" applyBorder="1" applyAlignment="1">
      <alignment horizontal="right" vertical="center"/>
    </xf>
    <xf numFmtId="0" fontId="20" fillId="4" borderId="3" xfId="0" applyFont="1" applyFill="1" applyBorder="1" applyAlignment="1">
      <alignment horizontal="left"/>
    </xf>
    <xf numFmtId="0" fontId="5" fillId="5" borderId="1" xfId="0" applyFont="1" applyFill="1" applyBorder="1" applyAlignment="1">
      <alignment horizontal="right" vertical="center"/>
    </xf>
    <xf numFmtId="0" fontId="0" fillId="5" borderId="0" xfId="0" applyFill="1" applyAlignment="1">
      <alignment horizontal="right"/>
    </xf>
    <xf numFmtId="0" fontId="1" fillId="5" borderId="0" xfId="0" applyFont="1" applyFill="1" applyAlignment="1">
      <alignment horizontal="left"/>
    </xf>
    <xf numFmtId="0" fontId="20" fillId="5" borderId="3" xfId="0" applyFont="1" applyFill="1" applyBorder="1" applyAlignment="1">
      <alignment horizontal="left"/>
    </xf>
    <xf numFmtId="0" fontId="23" fillId="4" borderId="5" xfId="0" applyFont="1" applyFill="1" applyBorder="1" applyAlignment="1">
      <alignment horizontal="left"/>
    </xf>
    <xf numFmtId="0" fontId="23" fillId="5" borderId="5" xfId="0" applyFont="1" applyFill="1" applyBorder="1" applyAlignment="1">
      <alignment horizontal="left"/>
    </xf>
    <xf numFmtId="0" fontId="5" fillId="4" borderId="7" xfId="0" applyFont="1" applyFill="1" applyBorder="1"/>
    <xf numFmtId="0" fontId="23" fillId="4" borderId="8" xfId="0" applyFont="1" applyFill="1" applyBorder="1" applyAlignment="1">
      <alignment horizontal="left"/>
    </xf>
    <xf numFmtId="0" fontId="23" fillId="9" borderId="0" xfId="0" applyFont="1" applyFill="1" applyAlignment="1">
      <alignment horizontal="left"/>
    </xf>
    <xf numFmtId="0" fontId="23" fillId="5" borderId="8" xfId="0" applyFont="1" applyFill="1" applyBorder="1" applyAlignment="1">
      <alignment horizontal="left"/>
    </xf>
    <xf numFmtId="0" fontId="16" fillId="9" borderId="0" xfId="0" applyFont="1" applyFill="1" applyAlignment="1">
      <alignment horizontal="left"/>
    </xf>
    <xf numFmtId="0" fontId="17" fillId="5" borderId="0" xfId="0" applyFont="1" applyFill="1"/>
    <xf numFmtId="0" fontId="0" fillId="5" borderId="7" xfId="0" applyFill="1" applyBorder="1" applyAlignment="1">
      <alignment horizontal="right"/>
    </xf>
    <xf numFmtId="0" fontId="17" fillId="5" borderId="7" xfId="0" applyFont="1" applyFill="1" applyBorder="1" applyAlignment="1">
      <alignment horizontal="left"/>
    </xf>
    <xf numFmtId="0" fontId="5" fillId="5" borderId="7" xfId="0" applyFont="1" applyFill="1" applyBorder="1"/>
    <xf numFmtId="0" fontId="24" fillId="9" borderId="0" xfId="0" applyFont="1" applyFill="1" applyAlignment="1">
      <alignment horizontal="left"/>
    </xf>
    <xf numFmtId="0" fontId="25" fillId="9" borderId="0" xfId="0" applyFont="1" applyFill="1" applyAlignment="1">
      <alignment horizontal="right"/>
    </xf>
    <xf numFmtId="0" fontId="16" fillId="3" borderId="0" xfId="0" applyFont="1" applyFill="1"/>
    <xf numFmtId="0" fontId="0" fillId="0" borderId="0" xfId="0" applyAlignment="1">
      <alignment horizontal="right"/>
    </xf>
    <xf numFmtId="0" fontId="17" fillId="9" borderId="0" xfId="0" applyFont="1" applyFill="1" applyAlignment="1">
      <alignment horizontal="left"/>
    </xf>
    <xf numFmtId="0" fontId="0" fillId="9" borderId="0" xfId="0" applyFill="1" applyAlignment="1">
      <alignment horizontal="left"/>
    </xf>
    <xf numFmtId="0" fontId="26" fillId="9" borderId="0" xfId="0" applyFont="1" applyFill="1" applyAlignment="1">
      <alignment horizontal="left"/>
    </xf>
    <xf numFmtId="0" fontId="2" fillId="5" borderId="0" xfId="0" applyFont="1" applyFill="1"/>
    <xf numFmtId="0" fontId="0" fillId="10" borderId="0" xfId="0" applyFill="1" applyAlignment="1">
      <alignment horizontal="right"/>
    </xf>
    <xf numFmtId="0" fontId="16" fillId="10" borderId="0" xfId="0" applyFont="1" applyFill="1" applyAlignment="1">
      <alignment horizontal="left"/>
    </xf>
    <xf numFmtId="0" fontId="0" fillId="0" borderId="0" xfId="0" applyAlignment="1">
      <alignment horizontal="left"/>
    </xf>
    <xf numFmtId="0" fontId="17" fillId="0" borderId="0" xfId="0" applyFont="1" applyAlignment="1">
      <alignment horizontal="left"/>
    </xf>
    <xf numFmtId="0" fontId="0" fillId="0" borderId="0" xfId="0" applyAlignment="1">
      <alignment horizontal="center"/>
    </xf>
    <xf numFmtId="0" fontId="1" fillId="0" borderId="0" xfId="0" applyFont="1" applyAlignment="1">
      <alignment horizontal="center"/>
    </xf>
    <xf numFmtId="0" fontId="16" fillId="0" borderId="0" xfId="0" applyFont="1" applyAlignment="1">
      <alignment horizontal="left"/>
    </xf>
    <xf numFmtId="0" fontId="1" fillId="0" borderId="0" xfId="0" applyFont="1" applyAlignment="1">
      <alignment horizontal="left"/>
    </xf>
    <xf numFmtId="0" fontId="1" fillId="0" borderId="0" xfId="0" applyFont="1" applyAlignment="1">
      <alignment horizontal="right"/>
    </xf>
    <xf numFmtId="0" fontId="27" fillId="4" borderId="0" xfId="1" applyFont="1" applyFill="1" applyBorder="1" applyAlignment="1">
      <alignment horizontal="left" vertical="top"/>
    </xf>
    <xf numFmtId="0" fontId="17" fillId="5" borderId="0" xfId="0" applyFont="1" applyFill="1" applyAlignment="1">
      <alignment horizontal="left"/>
    </xf>
    <xf numFmtId="0" fontId="5" fillId="5" borderId="4" xfId="0" applyFont="1" applyFill="1" applyBorder="1" applyAlignment="1">
      <alignment horizontal="right" vertical="center"/>
    </xf>
    <xf numFmtId="0" fontId="0" fillId="4" borderId="0" xfId="0" applyFill="1" applyAlignment="1">
      <alignment horizontal="right"/>
    </xf>
    <xf numFmtId="0" fontId="17" fillId="4" borderId="0" xfId="0" applyFont="1" applyFill="1" applyAlignment="1">
      <alignment horizontal="left"/>
    </xf>
    <xf numFmtId="0" fontId="19" fillId="4" borderId="0" xfId="0" applyFont="1" applyFill="1" applyAlignment="1">
      <alignment horizontal="right"/>
    </xf>
    <xf numFmtId="0" fontId="1" fillId="4" borderId="0" xfId="0" applyFont="1" applyFill="1" applyAlignment="1">
      <alignment horizontal="left"/>
    </xf>
    <xf numFmtId="0" fontId="16" fillId="4" borderId="0" xfId="0" applyFont="1" applyFill="1"/>
    <xf numFmtId="0" fontId="17" fillId="4" borderId="0" xfId="0" applyFont="1" applyFill="1"/>
    <xf numFmtId="0" fontId="27" fillId="4" borderId="0" xfId="0" applyFont="1" applyFill="1"/>
    <xf numFmtId="0" fontId="23" fillId="4" borderId="3" xfId="0" applyFont="1" applyFill="1" applyBorder="1" applyAlignment="1">
      <alignment horizontal="left"/>
    </xf>
    <xf numFmtId="0" fontId="23" fillId="5" borderId="3" xfId="0" applyFont="1" applyFill="1" applyBorder="1" applyAlignment="1">
      <alignment horizontal="left"/>
    </xf>
    <xf numFmtId="0" fontId="5" fillId="4" borderId="0" xfId="0" applyFont="1" applyFill="1"/>
    <xf numFmtId="0" fontId="20" fillId="4" borderId="5" xfId="0" applyFont="1" applyFill="1" applyBorder="1" applyAlignment="1">
      <alignment horizontal="left"/>
    </xf>
    <xf numFmtId="0" fontId="20" fillId="5" borderId="5" xfId="0" applyFont="1" applyFill="1" applyBorder="1" applyAlignment="1">
      <alignment horizontal="left"/>
    </xf>
    <xf numFmtId="0" fontId="1" fillId="5" borderId="0" xfId="0" applyFont="1" applyFill="1"/>
    <xf numFmtId="0" fontId="5" fillId="5" borderId="0" xfId="0" applyFont="1" applyFill="1" applyAlignment="1">
      <alignment horizontal="right"/>
    </xf>
    <xf numFmtId="0" fontId="19" fillId="4" borderId="8" xfId="0" applyFont="1" applyFill="1" applyBorder="1"/>
    <xf numFmtId="0" fontId="0" fillId="5" borderId="7" xfId="0" applyFill="1" applyBorder="1" applyAlignment="1">
      <alignment horizontal="left" wrapText="1"/>
    </xf>
    <xf numFmtId="0" fontId="20" fillId="4" borderId="8" xfId="0" applyFont="1" applyFill="1" applyBorder="1" applyAlignment="1">
      <alignment horizontal="left"/>
    </xf>
    <xf numFmtId="0" fontId="10" fillId="2" borderId="7" xfId="0" applyFont="1" applyFill="1" applyBorder="1"/>
    <xf numFmtId="0" fontId="2" fillId="4" borderId="0" xfId="0" applyFont="1" applyFill="1"/>
    <xf numFmtId="0" fontId="17" fillId="5" borderId="7" xfId="0" applyFont="1" applyFill="1" applyBorder="1"/>
    <xf numFmtId="0" fontId="17" fillId="10" borderId="0" xfId="0" applyFont="1" applyFill="1" applyAlignment="1">
      <alignment horizontal="left"/>
    </xf>
    <xf numFmtId="0" fontId="20" fillId="5" borderId="8" xfId="0" applyFont="1" applyFill="1" applyBorder="1" applyAlignment="1">
      <alignment horizontal="left"/>
    </xf>
    <xf numFmtId="0" fontId="0" fillId="11" borderId="0" xfId="0" applyFill="1" applyAlignment="1">
      <alignment horizontal="right"/>
    </xf>
    <xf numFmtId="0" fontId="0" fillId="2" borderId="0" xfId="0" applyFill="1"/>
    <xf numFmtId="0" fontId="11" fillId="2" borderId="0" xfId="0" applyFont="1" applyFill="1"/>
    <xf numFmtId="0" fontId="10" fillId="2" borderId="0" xfId="0" applyFont="1" applyFill="1"/>
    <xf numFmtId="0" fontId="16" fillId="11" borderId="0" xfId="0" applyFont="1" applyFill="1" applyAlignment="1">
      <alignment horizontal="left"/>
    </xf>
    <xf numFmtId="0" fontId="17" fillId="11" borderId="0" xfId="0" applyFont="1" applyFill="1" applyAlignment="1">
      <alignment horizontal="left"/>
    </xf>
    <xf numFmtId="0" fontId="16" fillId="11" borderId="0" xfId="0" applyFont="1" applyFill="1" applyAlignment="1">
      <alignment horizontal="right"/>
    </xf>
    <xf numFmtId="0" fontId="29" fillId="11" borderId="0" xfId="0" applyFont="1" applyFill="1" applyAlignment="1">
      <alignment horizontal="left"/>
    </xf>
    <xf numFmtId="0" fontId="1" fillId="11" borderId="0" xfId="0" applyFont="1" applyFill="1" applyAlignment="1">
      <alignment horizontal="left"/>
    </xf>
    <xf numFmtId="0" fontId="0" fillId="6" borderId="7" xfId="0" applyFill="1" applyBorder="1" applyAlignment="1">
      <alignment horizontal="left" vertical="top" wrapText="1"/>
    </xf>
    <xf numFmtId="0" fontId="30" fillId="0" borderId="0" xfId="0" applyFont="1"/>
    <xf numFmtId="0" fontId="0" fillId="0" borderId="0" xfId="0" applyAlignment="1">
      <alignment wrapText="1"/>
    </xf>
    <xf numFmtId="0" fontId="0" fillId="5" borderId="7" xfId="0" applyFill="1" applyBorder="1" applyAlignment="1">
      <alignment vertical="top"/>
    </xf>
    <xf numFmtId="0" fontId="0" fillId="5" borderId="0" xfId="0" applyFill="1" applyAlignment="1">
      <alignment horizontal="left" vertical="top" wrapText="1"/>
    </xf>
    <xf numFmtId="0" fontId="28" fillId="5" borderId="2" xfId="0" applyFont="1" applyFill="1" applyBorder="1"/>
    <xf numFmtId="0" fontId="33" fillId="5" borderId="11" xfId="0" applyFont="1" applyFill="1" applyBorder="1" applyAlignment="1">
      <alignment vertical="center"/>
    </xf>
    <xf numFmtId="0" fontId="0" fillId="5" borderId="12" xfId="0" applyFill="1" applyBorder="1"/>
    <xf numFmtId="0" fontId="9" fillId="6" borderId="6" xfId="1" applyFill="1" applyBorder="1" applyAlignment="1">
      <alignment vertical="center"/>
    </xf>
    <xf numFmtId="0" fontId="33" fillId="5" borderId="14" xfId="0" applyFont="1" applyFill="1" applyBorder="1" applyAlignment="1">
      <alignment vertical="center"/>
    </xf>
    <xf numFmtId="0" fontId="33" fillId="5" borderId="12" xfId="0" applyFont="1" applyFill="1" applyBorder="1" applyAlignment="1">
      <alignment vertical="center"/>
    </xf>
    <xf numFmtId="0" fontId="33" fillId="5" borderId="12" xfId="0" applyFont="1" applyFill="1" applyBorder="1" applyAlignment="1">
      <alignment vertical="top" wrapText="1"/>
    </xf>
    <xf numFmtId="0" fontId="33" fillId="5" borderId="14" xfId="0" applyFont="1" applyFill="1" applyBorder="1" applyAlignment="1">
      <alignment vertical="top"/>
    </xf>
    <xf numFmtId="0" fontId="33" fillId="5" borderId="12" xfId="0" applyFont="1" applyFill="1" applyBorder="1" applyAlignment="1">
      <alignment vertical="top"/>
    </xf>
    <xf numFmtId="0" fontId="34" fillId="6" borderId="6" xfId="1" applyFont="1" applyFill="1" applyBorder="1" applyAlignment="1">
      <alignment vertical="center"/>
    </xf>
    <xf numFmtId="0" fontId="14" fillId="6" borderId="0" xfId="0" applyFont="1" applyFill="1"/>
    <xf numFmtId="0" fontId="14" fillId="6" borderId="5" xfId="0" applyFont="1" applyFill="1" applyBorder="1"/>
    <xf numFmtId="0" fontId="31" fillId="6" borderId="7" xfId="0" applyFont="1" applyFill="1" applyBorder="1"/>
    <xf numFmtId="0" fontId="31" fillId="6" borderId="8" xfId="0" applyFont="1" applyFill="1" applyBorder="1"/>
    <xf numFmtId="0" fontId="36" fillId="12" borderId="3" xfId="1" applyFont="1" applyFill="1" applyBorder="1" applyAlignment="1">
      <alignment horizontal="center" vertical="center"/>
    </xf>
    <xf numFmtId="0" fontId="0" fillId="5" borderId="14" xfId="0" applyFill="1" applyBorder="1" applyAlignment="1">
      <alignment horizontal="left"/>
    </xf>
    <xf numFmtId="0" fontId="0" fillId="5" borderId="12" xfId="0" applyFill="1" applyBorder="1" applyAlignment="1">
      <alignment horizontal="left"/>
    </xf>
    <xf numFmtId="0" fontId="0" fillId="5" borderId="13" xfId="0" applyFill="1" applyBorder="1" applyAlignment="1">
      <alignment horizontal="left"/>
    </xf>
    <xf numFmtId="0" fontId="2" fillId="5" borderId="14" xfId="0" applyFont="1" applyFill="1" applyBorder="1" applyAlignment="1">
      <alignment horizontal="left"/>
    </xf>
    <xf numFmtId="0" fontId="2" fillId="5" borderId="14" xfId="0" applyFont="1" applyFill="1" applyBorder="1"/>
    <xf numFmtId="0" fontId="2" fillId="5" borderId="12" xfId="0" applyFont="1" applyFill="1" applyBorder="1"/>
    <xf numFmtId="0" fontId="2" fillId="5" borderId="13" xfId="0" applyFont="1" applyFill="1" applyBorder="1"/>
    <xf numFmtId="0" fontId="32" fillId="4" borderId="0" xfId="0" applyFont="1" applyFill="1" applyAlignment="1">
      <alignment vertical="center"/>
    </xf>
    <xf numFmtId="0" fontId="35" fillId="6" borderId="6" xfId="1" applyFont="1" applyFill="1" applyBorder="1" applyAlignment="1">
      <alignment vertical="center"/>
    </xf>
    <xf numFmtId="0" fontId="14" fillId="6" borderId="7" xfId="0" applyFont="1" applyFill="1" applyBorder="1"/>
    <xf numFmtId="0" fontId="14" fillId="6" borderId="8" xfId="0" applyFont="1" applyFill="1" applyBorder="1"/>
    <xf numFmtId="0" fontId="38" fillId="6" borderId="6" xfId="1" applyFont="1" applyFill="1" applyBorder="1" applyAlignment="1">
      <alignment vertical="center"/>
    </xf>
    <xf numFmtId="0" fontId="14" fillId="6" borderId="1" xfId="0" applyFont="1" applyFill="1" applyBorder="1" applyAlignment="1">
      <alignment horizontal="left" vertical="center"/>
    </xf>
    <xf numFmtId="0" fontId="14" fillId="6" borderId="4" xfId="0" applyFont="1" applyFill="1" applyBorder="1" applyAlignment="1">
      <alignment horizontal="left" vertical="center"/>
    </xf>
    <xf numFmtId="0" fontId="14" fillId="6" borderId="2" xfId="0" applyFont="1" applyFill="1" applyBorder="1"/>
    <xf numFmtId="0" fontId="14" fillId="6" borderId="3" xfId="0" applyFont="1" applyFill="1" applyBorder="1"/>
    <xf numFmtId="0" fontId="21" fillId="5" borderId="2" xfId="0" applyFont="1" applyFill="1" applyBorder="1"/>
    <xf numFmtId="0" fontId="21" fillId="5" borderId="7" xfId="0" applyFont="1" applyFill="1" applyBorder="1"/>
    <xf numFmtId="0" fontId="20" fillId="5" borderId="0" xfId="0" applyFont="1" applyFill="1" applyAlignment="1">
      <alignment horizontal="left"/>
    </xf>
    <xf numFmtId="0" fontId="20" fillId="4" borderId="2" xfId="0" applyFont="1" applyFill="1" applyBorder="1" applyAlignment="1">
      <alignment horizontal="left"/>
    </xf>
    <xf numFmtId="0" fontId="20" fillId="4" borderId="0" xfId="0" applyFont="1" applyFill="1" applyAlignment="1">
      <alignment horizontal="left"/>
    </xf>
    <xf numFmtId="0" fontId="0" fillId="5" borderId="13" xfId="0" applyFill="1" applyBorder="1"/>
    <xf numFmtId="0" fontId="28" fillId="4" borderId="2" xfId="0" applyFont="1" applyFill="1" applyBorder="1"/>
    <xf numFmtId="0" fontId="36" fillId="4" borderId="4" xfId="0" applyFont="1" applyFill="1" applyBorder="1" applyAlignment="1">
      <alignment horizontal="right"/>
    </xf>
    <xf numFmtId="0" fontId="40" fillId="6" borderId="4" xfId="1" applyFont="1" applyFill="1" applyBorder="1" applyAlignment="1">
      <alignment horizontal="right" vertical="center"/>
    </xf>
    <xf numFmtId="0" fontId="40" fillId="4" borderId="4" xfId="1" applyFont="1" applyFill="1" applyBorder="1" applyAlignment="1">
      <alignment horizontal="right" vertical="center"/>
    </xf>
    <xf numFmtId="0" fontId="29" fillId="11" borderId="0" xfId="0" applyFont="1" applyFill="1" applyAlignment="1">
      <alignment horizontal="right"/>
    </xf>
    <xf numFmtId="0" fontId="0" fillId="5" borderId="0" xfId="0" applyFill="1" applyAlignment="1">
      <alignment horizontal="left" wrapText="1"/>
    </xf>
    <xf numFmtId="0" fontId="1" fillId="4" borderId="2" xfId="0" applyFont="1" applyFill="1" applyBorder="1"/>
    <xf numFmtId="0" fontId="0" fillId="4" borderId="7" xfId="0" applyFill="1" applyBorder="1" applyAlignment="1">
      <alignment horizontal="left" vertical="top" wrapText="1"/>
    </xf>
    <xf numFmtId="164" fontId="17" fillId="5" borderId="0" xfId="0" applyNumberFormat="1" applyFont="1" applyFill="1" applyAlignment="1">
      <alignment horizontal="left"/>
    </xf>
    <xf numFmtId="0" fontId="21" fillId="5" borderId="0" xfId="0" applyFont="1" applyFill="1" applyAlignment="1">
      <alignment vertical="top"/>
    </xf>
    <xf numFmtId="0" fontId="26" fillId="5" borderId="0" xfId="0" applyFont="1" applyFill="1" applyAlignment="1">
      <alignment horizontal="right" vertical="top"/>
    </xf>
    <xf numFmtId="0" fontId="0" fillId="0" borderId="0" xfId="0" applyAlignment="1">
      <alignment vertical="top" wrapText="1"/>
    </xf>
    <xf numFmtId="0" fontId="0" fillId="4" borderId="7" xfId="0" applyFill="1" applyBorder="1" applyAlignment="1">
      <alignment vertical="top" wrapText="1"/>
    </xf>
    <xf numFmtId="0" fontId="39" fillId="5" borderId="0" xfId="0" applyFont="1" applyFill="1" applyAlignment="1">
      <alignment vertical="top"/>
    </xf>
    <xf numFmtId="0" fontId="21" fillId="5" borderId="0" xfId="0" applyFont="1" applyFill="1"/>
    <xf numFmtId="0" fontId="0" fillId="5" borderId="0" xfId="0" applyFill="1" applyAlignment="1">
      <alignment horizontal="left"/>
    </xf>
    <xf numFmtId="0" fontId="18" fillId="5" borderId="0" xfId="1" applyFont="1" applyFill="1" applyBorder="1" applyAlignment="1">
      <alignment horizontal="left" vertical="center"/>
    </xf>
    <xf numFmtId="0" fontId="42" fillId="5" borderId="0" xfId="0" applyFont="1" applyFill="1" applyAlignment="1">
      <alignment horizontal="right"/>
    </xf>
    <xf numFmtId="0" fontId="43" fillId="5" borderId="5" xfId="0" applyFont="1" applyFill="1" applyBorder="1"/>
    <xf numFmtId="0" fontId="44" fillId="5" borderId="0" xfId="1" applyFont="1" applyFill="1" applyBorder="1" applyAlignment="1">
      <alignment horizontal="left" vertical="center"/>
    </xf>
    <xf numFmtId="0" fontId="0" fillId="5" borderId="2" xfId="0" applyFill="1" applyBorder="1" applyAlignment="1">
      <alignment horizontal="left"/>
    </xf>
    <xf numFmtId="0" fontId="9" fillId="5" borderId="0" xfId="1" applyFill="1" applyBorder="1" applyAlignment="1">
      <alignment horizontal="left" vertical="center"/>
    </xf>
    <xf numFmtId="0" fontId="45" fillId="5" borderId="0" xfId="0" applyFont="1" applyFill="1" applyAlignment="1">
      <alignment horizontal="left"/>
    </xf>
    <xf numFmtId="0" fontId="0" fillId="5" borderId="7" xfId="0" applyFill="1" applyBorder="1" applyAlignment="1">
      <alignment horizontal="left"/>
    </xf>
    <xf numFmtId="0" fontId="47" fillId="5" borderId="0" xfId="0" applyFont="1" applyFill="1" applyAlignment="1">
      <alignment horizontal="right"/>
    </xf>
    <xf numFmtId="14" fontId="0" fillId="6" borderId="2" xfId="0" applyNumberFormat="1" applyFill="1" applyBorder="1"/>
    <xf numFmtId="14" fontId="0" fillId="6" borderId="0" xfId="0" applyNumberFormat="1" applyFill="1"/>
    <xf numFmtId="14" fontId="0" fillId="6" borderId="7" xfId="0" applyNumberFormat="1" applyFill="1" applyBorder="1"/>
    <xf numFmtId="14" fontId="0" fillId="0" borderId="0" xfId="0" applyNumberFormat="1"/>
    <xf numFmtId="0" fontId="11" fillId="4" borderId="5" xfId="0" applyFont="1" applyFill="1" applyBorder="1"/>
    <xf numFmtId="0" fontId="17" fillId="4" borderId="2" xfId="0" applyFont="1" applyFill="1" applyBorder="1" applyAlignment="1">
      <alignment horizontal="right"/>
    </xf>
    <xf numFmtId="0" fontId="16" fillId="4" borderId="7" xfId="0" applyFont="1" applyFill="1" applyBorder="1" applyAlignment="1">
      <alignment horizontal="right"/>
    </xf>
    <xf numFmtId="0" fontId="48" fillId="5" borderId="0" xfId="0" applyFont="1" applyFill="1" applyAlignment="1">
      <alignment horizontal="right"/>
    </xf>
    <xf numFmtId="0" fontId="1" fillId="10" borderId="0" xfId="0" applyFont="1" applyFill="1" applyAlignment="1">
      <alignment horizontal="right"/>
    </xf>
    <xf numFmtId="0" fontId="11" fillId="0" borderId="0" xfId="0" applyFont="1" applyAlignment="1">
      <alignment horizontal="left"/>
    </xf>
    <xf numFmtId="0" fontId="14" fillId="0" borderId="0" xfId="0" applyFont="1"/>
    <xf numFmtId="0" fontId="0" fillId="0" borderId="0" xfId="0" applyAlignment="1">
      <alignment horizontal="left" vertical="center" indent="1"/>
    </xf>
    <xf numFmtId="0" fontId="0" fillId="0" borderId="0" xfId="0" applyAlignment="1">
      <alignment horizontal="left" vertical="center"/>
    </xf>
    <xf numFmtId="0" fontId="0" fillId="6" borderId="2" xfId="0" applyFill="1" applyBorder="1" applyAlignment="1">
      <alignment horizontal="left"/>
    </xf>
    <xf numFmtId="0" fontId="0" fillId="6" borderId="0" xfId="0" applyFill="1" applyAlignment="1">
      <alignment horizontal="left"/>
    </xf>
    <xf numFmtId="0" fontId="0" fillId="6" borderId="7" xfId="0" applyFill="1" applyBorder="1" applyAlignment="1">
      <alignment horizontal="left"/>
    </xf>
    <xf numFmtId="0" fontId="2" fillId="6" borderId="0" xfId="0" applyFont="1" applyFill="1"/>
    <xf numFmtId="0" fontId="1" fillId="4" borderId="3" xfId="0" applyFont="1" applyFill="1" applyBorder="1" applyAlignment="1">
      <alignment horizontal="right"/>
    </xf>
    <xf numFmtId="0" fontId="27" fillId="4" borderId="4" xfId="0" applyFont="1" applyFill="1" applyBorder="1" applyAlignment="1">
      <alignment horizontal="right"/>
    </xf>
    <xf numFmtId="0" fontId="26" fillId="4" borderId="0" xfId="0" applyFont="1" applyFill="1"/>
    <xf numFmtId="0" fontId="27" fillId="4" borderId="6" xfId="0" applyFont="1" applyFill="1" applyBorder="1" applyAlignment="1">
      <alignment horizontal="right"/>
    </xf>
    <xf numFmtId="0" fontId="9" fillId="0" borderId="0" xfId="1"/>
    <xf numFmtId="0" fontId="2" fillId="5" borderId="2" xfId="0" applyFont="1" applyFill="1" applyBorder="1" applyAlignment="1">
      <alignment vertical="center"/>
    </xf>
    <xf numFmtId="0" fontId="32" fillId="5" borderId="2" xfId="0" applyFont="1" applyFill="1" applyBorder="1" applyAlignment="1">
      <alignment vertical="center"/>
    </xf>
    <xf numFmtId="0" fontId="0" fillId="6" borderId="29" xfId="0" applyFill="1" applyBorder="1"/>
    <xf numFmtId="0" fontId="0" fillId="6" borderId="30" xfId="0" applyFill="1" applyBorder="1"/>
    <xf numFmtId="0" fontId="0" fillId="6" borderId="31" xfId="0" applyFill="1" applyBorder="1"/>
    <xf numFmtId="0" fontId="0" fillId="6" borderId="32" xfId="0" applyFill="1" applyBorder="1"/>
    <xf numFmtId="0" fontId="0" fillId="6" borderId="33" xfId="0" applyFill="1" applyBorder="1"/>
    <xf numFmtId="0" fontId="0" fillId="6" borderId="34" xfId="0" applyFill="1" applyBorder="1"/>
    <xf numFmtId="0" fontId="0" fillId="6" borderId="35" xfId="0" applyFill="1" applyBorder="1"/>
    <xf numFmtId="0" fontId="0" fillId="6" borderId="36" xfId="0" applyFill="1" applyBorder="1"/>
    <xf numFmtId="0" fontId="0" fillId="6" borderId="46" xfId="0" applyFill="1" applyBorder="1"/>
    <xf numFmtId="0" fontId="0" fillId="6" borderId="37" xfId="0" applyFill="1" applyBorder="1"/>
    <xf numFmtId="0" fontId="0" fillId="6" borderId="52" xfId="0" applyFill="1" applyBorder="1"/>
    <xf numFmtId="0" fontId="0" fillId="6" borderId="39" xfId="0" applyFill="1" applyBorder="1"/>
    <xf numFmtId="0" fontId="0" fillId="6" borderId="53" xfId="0" applyFill="1" applyBorder="1"/>
    <xf numFmtId="0" fontId="16" fillId="6" borderId="45" xfId="0" applyFont="1" applyFill="1" applyBorder="1"/>
    <xf numFmtId="0" fontId="16" fillId="6" borderId="39" xfId="0" applyFont="1" applyFill="1" applyBorder="1"/>
    <xf numFmtId="0" fontId="16" fillId="6" borderId="30" xfId="0" applyFont="1" applyFill="1" applyBorder="1"/>
    <xf numFmtId="0" fontId="16" fillId="6" borderId="0" xfId="0" applyFont="1" applyFill="1"/>
    <xf numFmtId="0" fontId="0" fillId="6" borderId="55" xfId="0" applyFill="1" applyBorder="1"/>
    <xf numFmtId="0" fontId="0" fillId="6" borderId="19" xfId="0" applyFill="1" applyBorder="1"/>
    <xf numFmtId="0" fontId="0" fillId="6" borderId="54" xfId="0" applyFill="1" applyBorder="1"/>
    <xf numFmtId="0" fontId="16" fillId="6" borderId="56" xfId="0" applyFont="1" applyFill="1" applyBorder="1"/>
    <xf numFmtId="0" fontId="0" fillId="6" borderId="18" xfId="0" applyFill="1" applyBorder="1"/>
    <xf numFmtId="0" fontId="0" fillId="6" borderId="57" xfId="0" applyFill="1" applyBorder="1"/>
    <xf numFmtId="0" fontId="0" fillId="5" borderId="58" xfId="0" applyFill="1" applyBorder="1"/>
    <xf numFmtId="0" fontId="0" fillId="5" borderId="59" xfId="0" applyFill="1" applyBorder="1"/>
    <xf numFmtId="0" fontId="0" fillId="5" borderId="60" xfId="0" applyFill="1" applyBorder="1"/>
    <xf numFmtId="0" fontId="27" fillId="4" borderId="0" xfId="0" applyFont="1" applyFill="1" applyAlignment="1">
      <alignment horizontal="center"/>
    </xf>
    <xf numFmtId="0" fontId="1" fillId="4" borderId="0" xfId="0" applyFont="1" applyFill="1"/>
    <xf numFmtId="0" fontId="2" fillId="7" borderId="0" xfId="0" applyFont="1" applyFill="1"/>
    <xf numFmtId="0" fontId="1" fillId="5" borderId="0" xfId="0" applyFont="1" applyFill="1" applyAlignment="1">
      <alignment horizontal="right"/>
    </xf>
    <xf numFmtId="0" fontId="27" fillId="5" borderId="0" xfId="0" applyFont="1" applyFill="1" applyAlignment="1">
      <alignment horizontal="right"/>
    </xf>
    <xf numFmtId="0" fontId="36" fillId="5" borderId="4" xfId="0" applyFont="1" applyFill="1" applyBorder="1" applyAlignment="1">
      <alignment horizontal="right"/>
    </xf>
    <xf numFmtId="0" fontId="1" fillId="5" borderId="2" xfId="0" applyFont="1" applyFill="1" applyBorder="1"/>
    <xf numFmtId="0" fontId="1" fillId="5" borderId="3" xfId="0" applyFont="1" applyFill="1" applyBorder="1" applyAlignment="1">
      <alignment horizontal="right"/>
    </xf>
    <xf numFmtId="0" fontId="20" fillId="4" borderId="5" xfId="0" applyFont="1" applyFill="1" applyBorder="1" applyAlignment="1">
      <alignment horizontal="right"/>
    </xf>
    <xf numFmtId="0" fontId="20" fillId="5" borderId="5" xfId="0" applyFont="1" applyFill="1" applyBorder="1" applyAlignment="1">
      <alignment horizontal="right"/>
    </xf>
    <xf numFmtId="0" fontId="20" fillId="5" borderId="8" xfId="0" applyFont="1" applyFill="1" applyBorder="1" applyAlignment="1">
      <alignment horizontal="right"/>
    </xf>
    <xf numFmtId="0" fontId="27" fillId="5" borderId="4" xfId="0" applyFont="1" applyFill="1" applyBorder="1" applyAlignment="1">
      <alignment horizontal="right"/>
    </xf>
    <xf numFmtId="0" fontId="0" fillId="6" borderId="0" xfId="0" applyFill="1" applyAlignment="1">
      <alignment vertical="top" wrapText="1"/>
    </xf>
    <xf numFmtId="0" fontId="0" fillId="6" borderId="0" xfId="0" applyFill="1" applyAlignment="1">
      <alignment vertical="top"/>
    </xf>
    <xf numFmtId="0" fontId="0" fillId="6" borderId="0" xfId="0" applyFill="1" applyAlignment="1">
      <alignment horizontal="right" vertical="top"/>
    </xf>
    <xf numFmtId="0" fontId="18" fillId="6" borderId="0" xfId="1" applyFont="1" applyFill="1" applyBorder="1" applyAlignment="1">
      <alignment vertical="top" wrapText="1"/>
    </xf>
    <xf numFmtId="0" fontId="0" fillId="11" borderId="0" xfId="0" applyFill="1" applyAlignment="1">
      <alignment horizontal="left"/>
    </xf>
    <xf numFmtId="164" fontId="17" fillId="4" borderId="0" xfId="0" applyNumberFormat="1" applyFont="1" applyFill="1" applyAlignment="1">
      <alignment horizontal="left"/>
    </xf>
    <xf numFmtId="0" fontId="39" fillId="4" borderId="7" xfId="0" applyFont="1" applyFill="1" applyBorder="1" applyAlignment="1">
      <alignment horizontal="right"/>
    </xf>
    <xf numFmtId="164" fontId="39" fillId="4" borderId="0" xfId="0" applyNumberFormat="1" applyFont="1" applyFill="1" applyAlignment="1">
      <alignment horizontal="right"/>
    </xf>
    <xf numFmtId="0" fontId="1" fillId="6" borderId="0" xfId="0" applyFont="1" applyFill="1"/>
    <xf numFmtId="0" fontId="9" fillId="6" borderId="0" xfId="1" applyFill="1" applyBorder="1"/>
    <xf numFmtId="14" fontId="0" fillId="4" borderId="2" xfId="0" applyNumberFormat="1" applyFill="1" applyBorder="1"/>
    <xf numFmtId="14" fontId="0" fillId="4" borderId="7" xfId="0" applyNumberFormat="1" applyFill="1" applyBorder="1"/>
    <xf numFmtId="0" fontId="1" fillId="6" borderId="0" xfId="0" applyFont="1" applyFill="1" applyAlignment="1">
      <alignment horizontal="right"/>
    </xf>
    <xf numFmtId="0" fontId="1" fillId="4" borderId="2" xfId="0" applyFont="1" applyFill="1" applyBorder="1" applyAlignment="1">
      <alignment horizontal="left"/>
    </xf>
    <xf numFmtId="0" fontId="34" fillId="4" borderId="2" xfId="1" applyFont="1" applyFill="1" applyBorder="1"/>
    <xf numFmtId="0" fontId="1" fillId="4" borderId="3" xfId="0" applyFont="1" applyFill="1" applyBorder="1"/>
    <xf numFmtId="0" fontId="0" fillId="4" borderId="0" xfId="0" applyFill="1" applyAlignment="1">
      <alignment horizontal="left"/>
    </xf>
    <xf numFmtId="0" fontId="0" fillId="4" borderId="5" xfId="0" applyFill="1" applyBorder="1" applyAlignment="1">
      <alignment horizontal="left"/>
    </xf>
    <xf numFmtId="0" fontId="0" fillId="4" borderId="7" xfId="0" applyFill="1" applyBorder="1" applyAlignment="1">
      <alignment horizontal="left"/>
    </xf>
    <xf numFmtId="0" fontId="0" fillId="4" borderId="8" xfId="0" applyFill="1" applyBorder="1" applyAlignment="1">
      <alignment horizontal="left"/>
    </xf>
    <xf numFmtId="0" fontId="40" fillId="6" borderId="4" xfId="1" applyFont="1" applyFill="1" applyBorder="1" applyAlignment="1">
      <alignment horizontal="right"/>
    </xf>
    <xf numFmtId="0" fontId="1" fillId="6" borderId="7" xfId="0" applyFont="1" applyFill="1" applyBorder="1"/>
    <xf numFmtId="14" fontId="2" fillId="5" borderId="12" xfId="0" applyNumberFormat="1" applyFont="1" applyFill="1" applyBorder="1" applyAlignment="1">
      <alignment horizontal="right"/>
    </xf>
    <xf numFmtId="0" fontId="1" fillId="11" borderId="0" xfId="0" applyFont="1" applyFill="1" applyAlignment="1">
      <alignment horizontal="center"/>
    </xf>
    <xf numFmtId="0" fontId="0" fillId="6" borderId="0" xfId="0" applyFill="1" applyAlignment="1">
      <alignment horizontal="left" vertical="top" wrapText="1"/>
    </xf>
    <xf numFmtId="0" fontId="0" fillId="6" borderId="0" xfId="0" applyFill="1" applyAlignment="1">
      <alignment horizontal="left" vertical="top"/>
    </xf>
    <xf numFmtId="0" fontId="21" fillId="6" borderId="7" xfId="0" applyFont="1" applyFill="1" applyBorder="1" applyAlignment="1">
      <alignment vertical="top" wrapText="1"/>
    </xf>
    <xf numFmtId="0" fontId="28" fillId="6" borderId="0" xfId="0" applyFont="1" applyFill="1"/>
    <xf numFmtId="0" fontId="39" fillId="5" borderId="2" xfId="0" applyFont="1" applyFill="1" applyBorder="1" applyAlignment="1">
      <alignment vertical="center"/>
    </xf>
    <xf numFmtId="0" fontId="39" fillId="4" borderId="2" xfId="0" applyFont="1" applyFill="1" applyBorder="1" applyAlignment="1">
      <alignment vertical="center"/>
    </xf>
    <xf numFmtId="0" fontId="39" fillId="4" borderId="0" xfId="0" applyFont="1" applyFill="1" applyAlignment="1">
      <alignment vertical="center"/>
    </xf>
    <xf numFmtId="0" fontId="36" fillId="6" borderId="4" xfId="0" applyFont="1" applyFill="1" applyBorder="1" applyAlignment="1">
      <alignment horizontal="right"/>
    </xf>
    <xf numFmtId="0" fontId="18" fillId="5" borderId="0" xfId="1" applyFont="1" applyFill="1"/>
    <xf numFmtId="0" fontId="16" fillId="4" borderId="0" xfId="0" applyFont="1" applyFill="1" applyAlignment="1">
      <alignment horizontal="left"/>
    </xf>
    <xf numFmtId="0" fontId="0" fillId="4" borderId="2" xfId="0" applyFill="1" applyBorder="1" applyAlignment="1">
      <alignment horizontal="left"/>
    </xf>
    <xf numFmtId="0" fontId="21" fillId="4" borderId="0" xfId="0" applyFont="1" applyFill="1" applyAlignment="1">
      <alignment horizontal="right"/>
    </xf>
    <xf numFmtId="0" fontId="26" fillId="4" borderId="0" xfId="0" applyFont="1" applyFill="1" applyAlignment="1">
      <alignment horizontal="right"/>
    </xf>
    <xf numFmtId="0" fontId="5" fillId="5" borderId="0" xfId="0" applyFont="1" applyFill="1" applyAlignment="1">
      <alignment vertical="top"/>
    </xf>
    <xf numFmtId="0" fontId="49" fillId="5" borderId="8" xfId="0" applyFont="1" applyFill="1" applyBorder="1"/>
    <xf numFmtId="0" fontId="0" fillId="6" borderId="0" xfId="0" applyFill="1" applyAlignment="1">
      <alignment wrapText="1"/>
    </xf>
    <xf numFmtId="0" fontId="50" fillId="5" borderId="0" xfId="0" applyFont="1" applyFill="1" applyAlignment="1">
      <alignment horizontal="center"/>
    </xf>
    <xf numFmtId="14" fontId="17" fillId="4" borderId="0" xfId="0" applyNumberFormat="1" applyFont="1" applyFill="1" applyAlignment="1">
      <alignment horizontal="left"/>
    </xf>
    <xf numFmtId="0" fontId="18" fillId="5" borderId="0" xfId="1" applyFont="1" applyFill="1" applyAlignment="1">
      <alignment horizontal="left"/>
    </xf>
    <xf numFmtId="0" fontId="18" fillId="4" borderId="0" xfId="1" applyFont="1" applyFill="1"/>
    <xf numFmtId="0" fontId="51" fillId="4" borderId="0" xfId="0" applyFont="1" applyFill="1" applyAlignment="1">
      <alignment horizontal="right"/>
    </xf>
    <xf numFmtId="14" fontId="0" fillId="4" borderId="0" xfId="0" applyNumberFormat="1" applyFill="1"/>
    <xf numFmtId="0" fontId="16" fillId="4" borderId="0" xfId="0" applyFont="1" applyFill="1" applyAlignment="1">
      <alignment horizontal="right"/>
    </xf>
    <xf numFmtId="0" fontId="2" fillId="5" borderId="2" xfId="0" applyFont="1" applyFill="1" applyBorder="1" applyAlignment="1">
      <alignment horizontal="left"/>
    </xf>
    <xf numFmtId="164" fontId="17" fillId="5" borderId="2" xfId="0" applyNumberFormat="1" applyFont="1" applyFill="1" applyBorder="1"/>
    <xf numFmtId="0" fontId="0" fillId="5" borderId="0" xfId="0" applyFill="1" applyAlignment="1">
      <alignment vertical="top" wrapText="1"/>
    </xf>
    <xf numFmtId="0" fontId="0" fillId="5" borderId="5" xfId="0" applyFill="1" applyBorder="1" applyAlignment="1">
      <alignment vertical="top" wrapText="1"/>
    </xf>
    <xf numFmtId="0" fontId="0" fillId="5" borderId="7" xfId="0" applyFill="1" applyBorder="1" applyAlignment="1">
      <alignment vertical="top" wrapText="1"/>
    </xf>
    <xf numFmtId="0" fontId="0" fillId="5" borderId="8" xfId="0" applyFill="1" applyBorder="1" applyAlignment="1">
      <alignment vertical="top" wrapText="1"/>
    </xf>
    <xf numFmtId="0" fontId="0" fillId="11" borderId="0" xfId="0" applyFill="1" applyAlignment="1">
      <alignment horizontal="center"/>
    </xf>
    <xf numFmtId="0" fontId="0" fillId="11" borderId="0" xfId="0" applyFill="1"/>
    <xf numFmtId="0" fontId="2" fillId="0" borderId="0" xfId="0" applyFont="1"/>
    <xf numFmtId="0" fontId="1" fillId="0" borderId="0" xfId="0" applyFont="1"/>
    <xf numFmtId="0" fontId="17" fillId="0" borderId="0" xfId="0" applyFont="1"/>
    <xf numFmtId="0" fontId="11" fillId="8" borderId="0" xfId="0" applyFont="1" applyFill="1"/>
    <xf numFmtId="0" fontId="10" fillId="8" borderId="0" xfId="0" applyFont="1" applyFill="1"/>
    <xf numFmtId="0" fontId="22" fillId="8" borderId="0" xfId="0" applyFont="1" applyFill="1"/>
    <xf numFmtId="0" fontId="1" fillId="9" borderId="0" xfId="0" applyFont="1" applyFill="1"/>
    <xf numFmtId="0" fontId="0" fillId="9" borderId="0" xfId="0" applyFill="1"/>
    <xf numFmtId="0" fontId="16" fillId="9" borderId="0" xfId="0" applyFont="1" applyFill="1"/>
    <xf numFmtId="0" fontId="26" fillId="0" borderId="0" xfId="0" applyFont="1"/>
    <xf numFmtId="0" fontId="16" fillId="0" borderId="0" xfId="0" applyFont="1"/>
    <xf numFmtId="0" fontId="0" fillId="10" borderId="0" xfId="0" applyFill="1"/>
    <xf numFmtId="0" fontId="16" fillId="10" borderId="0" xfId="0" applyFont="1" applyFill="1"/>
    <xf numFmtId="0" fontId="1" fillId="10" borderId="0" xfId="0" applyFont="1" applyFill="1"/>
    <xf numFmtId="0" fontId="17" fillId="10" borderId="0" xfId="0" applyFont="1" applyFill="1"/>
    <xf numFmtId="0" fontId="1" fillId="11" borderId="0" xfId="0" applyFont="1" applyFill="1"/>
    <xf numFmtId="0" fontId="16" fillId="11" borderId="0" xfId="0" applyFont="1" applyFill="1"/>
    <xf numFmtId="0" fontId="17" fillId="11" borderId="0" xfId="0" applyFont="1" applyFill="1"/>
    <xf numFmtId="0" fontId="9" fillId="11" borderId="0" xfId="1" applyFill="1" applyAlignment="1"/>
    <xf numFmtId="0" fontId="41" fillId="11" borderId="0" xfId="0" applyFont="1" applyFill="1"/>
    <xf numFmtId="0" fontId="29" fillId="11" borderId="0" xfId="0" applyFont="1" applyFill="1"/>
    <xf numFmtId="14" fontId="0" fillId="11" borderId="0" xfId="0" quotePrefix="1" applyNumberFormat="1" applyFill="1"/>
    <xf numFmtId="14" fontId="0" fillId="11" borderId="0" xfId="0" applyNumberFormat="1" applyFill="1"/>
    <xf numFmtId="0" fontId="10" fillId="13" borderId="0" xfId="0" applyFont="1" applyFill="1"/>
    <xf numFmtId="0" fontId="11" fillId="13" borderId="0" xfId="0" applyFont="1" applyFill="1"/>
    <xf numFmtId="0" fontId="29" fillId="13" borderId="0" xfId="0" applyFont="1" applyFill="1"/>
    <xf numFmtId="14" fontId="11" fillId="13" borderId="0" xfId="0" applyNumberFormat="1" applyFont="1" applyFill="1"/>
    <xf numFmtId="14" fontId="10" fillId="13" borderId="0" xfId="0" applyNumberFormat="1" applyFont="1" applyFill="1"/>
    <xf numFmtId="0" fontId="0" fillId="13" borderId="0" xfId="0" applyFill="1"/>
    <xf numFmtId="0" fontId="26" fillId="13" borderId="0" xfId="0" applyFont="1" applyFill="1"/>
    <xf numFmtId="14" fontId="0" fillId="13" borderId="0" xfId="0" applyNumberFormat="1" applyFill="1"/>
    <xf numFmtId="0" fontId="28" fillId="3" borderId="0" xfId="0" applyFont="1" applyFill="1" applyAlignment="1">
      <alignment horizontal="left"/>
    </xf>
    <xf numFmtId="0" fontId="17" fillId="6" borderId="9" xfId="0" applyFont="1" applyFill="1" applyBorder="1" applyAlignment="1">
      <alignment horizontal="left"/>
    </xf>
    <xf numFmtId="0" fontId="17" fillId="6" borderId="10" xfId="0" applyFont="1" applyFill="1" applyBorder="1" applyAlignment="1">
      <alignment horizontal="left"/>
    </xf>
    <xf numFmtId="0" fontId="16" fillId="3" borderId="0" xfId="0" applyFont="1" applyFill="1" applyAlignment="1">
      <alignment horizontal="left"/>
    </xf>
    <xf numFmtId="0" fontId="17" fillId="4" borderId="0" xfId="0" applyFont="1" applyFill="1" applyAlignment="1">
      <alignment horizontal="left"/>
    </xf>
    <xf numFmtId="0" fontId="28" fillId="6" borderId="0" xfId="0" applyFont="1" applyFill="1" applyAlignment="1">
      <alignment horizontal="left"/>
    </xf>
    <xf numFmtId="0" fontId="17" fillId="5" borderId="0" xfId="0" applyFont="1" applyFill="1" applyAlignment="1">
      <alignment horizontal="left"/>
    </xf>
    <xf numFmtId="0" fontId="0" fillId="6" borderId="0" xfId="0" applyFill="1" applyAlignment="1">
      <alignment horizontal="left" wrapText="1"/>
    </xf>
    <xf numFmtId="0" fontId="17" fillId="5" borderId="0" xfId="0" applyFont="1" applyFill="1" applyAlignment="1" applyProtection="1">
      <alignment horizontal="left"/>
      <protection locked="0"/>
    </xf>
    <xf numFmtId="0" fontId="21" fillId="6" borderId="2" xfId="0" applyFont="1" applyFill="1" applyBorder="1" applyAlignment="1">
      <alignment horizontal="left" wrapText="1"/>
    </xf>
    <xf numFmtId="0" fontId="21" fillId="6" borderId="0" xfId="0" applyFont="1" applyFill="1" applyAlignment="1">
      <alignment horizontal="left" wrapText="1"/>
    </xf>
    <xf numFmtId="0" fontId="17" fillId="5" borderId="7" xfId="0" applyFont="1" applyFill="1" applyBorder="1" applyAlignment="1">
      <alignment horizontal="left"/>
    </xf>
    <xf numFmtId="0" fontId="0" fillId="5" borderId="0" xfId="0" applyFill="1" applyAlignment="1">
      <alignment horizontal="left" vertical="top" wrapText="1"/>
    </xf>
    <xf numFmtId="0" fontId="17" fillId="4" borderId="7" xfId="0" applyFont="1" applyFill="1" applyBorder="1" applyAlignment="1">
      <alignment horizontal="left"/>
    </xf>
    <xf numFmtId="0" fontId="17" fillId="4" borderId="0" xfId="0" applyFont="1" applyFill="1"/>
    <xf numFmtId="0" fontId="0" fillId="5" borderId="0" xfId="0" applyFill="1" applyAlignment="1">
      <alignment horizontal="left" wrapText="1"/>
    </xf>
    <xf numFmtId="0" fontId="17" fillId="5" borderId="0" xfId="0" applyFont="1" applyFill="1"/>
    <xf numFmtId="0" fontId="0" fillId="6" borderId="0" xfId="0" applyFill="1" applyAlignment="1">
      <alignment horizontal="left" vertical="top" wrapText="1"/>
    </xf>
    <xf numFmtId="0" fontId="0" fillId="6" borderId="18" xfId="0" applyFill="1" applyBorder="1" applyAlignment="1">
      <alignment horizontal="left" vertical="top" wrapText="1"/>
    </xf>
    <xf numFmtId="0" fontId="0" fillId="6" borderId="19" xfId="0" applyFill="1" applyBorder="1" applyAlignment="1">
      <alignment horizontal="left" vertical="top" wrapText="1"/>
    </xf>
    <xf numFmtId="0" fontId="0" fillId="6" borderId="20" xfId="0" applyFill="1" applyBorder="1" applyAlignment="1">
      <alignment horizontal="left" vertical="top" wrapText="1"/>
    </xf>
    <xf numFmtId="0" fontId="0" fillId="6" borderId="21" xfId="0" applyFill="1" applyBorder="1" applyAlignment="1">
      <alignment horizontal="left" vertical="top" wrapText="1"/>
    </xf>
    <xf numFmtId="0" fontId="0" fillId="6" borderId="22" xfId="0" applyFill="1" applyBorder="1" applyAlignment="1">
      <alignment horizontal="left" vertical="top" wrapText="1"/>
    </xf>
    <xf numFmtId="164" fontId="17" fillId="5" borderId="2" xfId="0" applyNumberFormat="1" applyFont="1" applyFill="1" applyBorder="1" applyAlignment="1">
      <alignment horizontal="left"/>
    </xf>
    <xf numFmtId="14" fontId="17" fillId="6" borderId="9" xfId="0" applyNumberFormat="1" applyFont="1" applyFill="1" applyBorder="1" applyAlignment="1">
      <alignment horizontal="left"/>
    </xf>
    <xf numFmtId="14" fontId="17" fillId="6" borderId="10" xfId="0" applyNumberFormat="1" applyFont="1" applyFill="1" applyBorder="1" applyAlignment="1">
      <alignment horizontal="left"/>
    </xf>
    <xf numFmtId="0" fontId="2" fillId="6" borderId="15" xfId="0" applyFont="1" applyFill="1" applyBorder="1" applyAlignment="1">
      <alignment horizontal="center" vertical="top" wrapText="1"/>
    </xf>
    <xf numFmtId="0" fontId="2" fillId="6" borderId="16" xfId="0" applyFont="1" applyFill="1" applyBorder="1" applyAlignment="1">
      <alignment horizontal="center" vertical="top" wrapText="1"/>
    </xf>
    <xf numFmtId="0" fontId="2" fillId="6" borderId="17" xfId="0" applyFont="1" applyFill="1" applyBorder="1" applyAlignment="1">
      <alignment horizontal="center" vertical="top" wrapText="1"/>
    </xf>
    <xf numFmtId="0" fontId="2" fillId="6" borderId="0" xfId="0" applyFont="1" applyFill="1" applyAlignment="1">
      <alignment horizontal="left" vertical="top"/>
    </xf>
    <xf numFmtId="0" fontId="21" fillId="6" borderId="1" xfId="0" applyFont="1" applyFill="1" applyBorder="1" applyAlignment="1">
      <alignment horizontal="left" vertical="top" wrapText="1"/>
    </xf>
    <xf numFmtId="0" fontId="21" fillId="6" borderId="2" xfId="0" applyFont="1" applyFill="1" applyBorder="1" applyAlignment="1">
      <alignment horizontal="left" vertical="top" wrapText="1"/>
    </xf>
    <xf numFmtId="0" fontId="21" fillId="6" borderId="3" xfId="0" applyFont="1" applyFill="1" applyBorder="1" applyAlignment="1">
      <alignment horizontal="left" vertical="top" wrapText="1"/>
    </xf>
    <xf numFmtId="0" fontId="21" fillId="6" borderId="4" xfId="0" applyFont="1" applyFill="1" applyBorder="1" applyAlignment="1">
      <alignment horizontal="left" vertical="top" wrapText="1"/>
    </xf>
    <xf numFmtId="0" fontId="21" fillId="6" borderId="0" xfId="0" applyFont="1" applyFill="1" applyAlignment="1">
      <alignment horizontal="left" vertical="top" wrapText="1"/>
    </xf>
    <xf numFmtId="0" fontId="21" fillId="6" borderId="5" xfId="0" applyFont="1" applyFill="1" applyBorder="1" applyAlignment="1">
      <alignment horizontal="left" vertical="top" wrapText="1"/>
    </xf>
    <xf numFmtId="0" fontId="21" fillId="6" borderId="6" xfId="0" applyFont="1" applyFill="1" applyBorder="1" applyAlignment="1">
      <alignment horizontal="left" vertical="top" wrapText="1"/>
    </xf>
    <xf numFmtId="0" fontId="21" fillId="6" borderId="7" xfId="0" applyFont="1" applyFill="1" applyBorder="1" applyAlignment="1">
      <alignment horizontal="left" vertical="top" wrapText="1"/>
    </xf>
    <xf numFmtId="0" fontId="21" fillId="6" borderId="8" xfId="0" applyFont="1" applyFill="1" applyBorder="1" applyAlignment="1">
      <alignment horizontal="left" vertical="top" wrapText="1"/>
    </xf>
    <xf numFmtId="0" fontId="14" fillId="6" borderId="4" xfId="0" applyFont="1" applyFill="1" applyBorder="1" applyAlignment="1">
      <alignment horizontal="left" vertical="top" wrapText="1"/>
    </xf>
    <xf numFmtId="0" fontId="14" fillId="6" borderId="0" xfId="0" applyFont="1" applyFill="1" applyAlignment="1">
      <alignment horizontal="left" vertical="top" wrapText="1"/>
    </xf>
    <xf numFmtId="0" fontId="14" fillId="6" borderId="5" xfId="0" applyFont="1" applyFill="1" applyBorder="1" applyAlignment="1">
      <alignment horizontal="left" vertical="top" wrapText="1"/>
    </xf>
    <xf numFmtId="0" fontId="14" fillId="6" borderId="1" xfId="0" applyFont="1" applyFill="1" applyBorder="1" applyAlignment="1">
      <alignment horizontal="left" vertical="top" wrapText="1"/>
    </xf>
    <xf numFmtId="0" fontId="14" fillId="6" borderId="2" xfId="0" applyFont="1" applyFill="1" applyBorder="1" applyAlignment="1">
      <alignment horizontal="left" vertical="top" wrapText="1"/>
    </xf>
    <xf numFmtId="0" fontId="14" fillId="6" borderId="3" xfId="0" applyFont="1" applyFill="1" applyBorder="1" applyAlignment="1">
      <alignment horizontal="left" vertical="top" wrapText="1"/>
    </xf>
    <xf numFmtId="0" fontId="14" fillId="6" borderId="1" xfId="0" applyFont="1" applyFill="1" applyBorder="1" applyAlignment="1">
      <alignment horizontal="left" vertical="center" wrapText="1"/>
    </xf>
    <xf numFmtId="0" fontId="14" fillId="6" borderId="2"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14" fillId="6" borderId="0" xfId="0" applyFont="1" applyFill="1" applyAlignment="1">
      <alignment horizontal="left" vertical="center" wrapText="1"/>
    </xf>
    <xf numFmtId="0" fontId="14" fillId="6" borderId="5" xfId="0" applyFont="1" applyFill="1" applyBorder="1" applyAlignment="1">
      <alignment horizontal="left" vertical="center" wrapText="1"/>
    </xf>
    <xf numFmtId="0" fontId="0" fillId="4" borderId="0" xfId="0" applyFill="1" applyAlignment="1">
      <alignment horizontal="left" vertical="top" wrapText="1"/>
    </xf>
    <xf numFmtId="0" fontId="37" fillId="6" borderId="1" xfId="0" applyFont="1" applyFill="1" applyBorder="1" applyAlignment="1">
      <alignment horizontal="left" vertical="center"/>
    </xf>
    <xf numFmtId="0" fontId="37" fillId="6" borderId="2" xfId="0" applyFont="1" applyFill="1" applyBorder="1" applyAlignment="1">
      <alignment horizontal="left" vertical="center"/>
    </xf>
    <xf numFmtId="0" fontId="37" fillId="6" borderId="3" xfId="0" applyFont="1" applyFill="1" applyBorder="1" applyAlignment="1">
      <alignment horizontal="left" vertical="center"/>
    </xf>
    <xf numFmtId="0" fontId="37" fillId="6" borderId="4" xfId="0" applyFont="1" applyFill="1" applyBorder="1" applyAlignment="1">
      <alignment horizontal="left" vertical="center"/>
    </xf>
    <xf numFmtId="0" fontId="37" fillId="6" borderId="0" xfId="0" applyFont="1" applyFill="1" applyAlignment="1">
      <alignment horizontal="left" vertical="center"/>
    </xf>
    <xf numFmtId="0" fontId="37" fillId="6" borderId="5" xfId="0" applyFont="1" applyFill="1" applyBorder="1" applyAlignment="1">
      <alignment horizontal="left" vertical="center"/>
    </xf>
    <xf numFmtId="0" fontId="37" fillId="6" borderId="4" xfId="0" applyFont="1" applyFill="1" applyBorder="1" applyAlignment="1">
      <alignment horizontal="left" vertical="top" wrapText="1"/>
    </xf>
    <xf numFmtId="0" fontId="37" fillId="6" borderId="0" xfId="0" applyFont="1" applyFill="1" applyAlignment="1">
      <alignment horizontal="left" vertical="top" wrapText="1"/>
    </xf>
    <xf numFmtId="0" fontId="37" fillId="6" borderId="5" xfId="0" applyFont="1" applyFill="1" applyBorder="1" applyAlignment="1">
      <alignment horizontal="left" vertical="top" wrapText="1"/>
    </xf>
    <xf numFmtId="0" fontId="14" fillId="6" borderId="4" xfId="0" applyFont="1" applyFill="1" applyBorder="1" applyAlignment="1">
      <alignment horizontal="left" vertical="top"/>
    </xf>
    <xf numFmtId="0" fontId="14" fillId="6" borderId="0" xfId="0" applyFont="1" applyFill="1" applyAlignment="1">
      <alignment horizontal="left" vertical="top"/>
    </xf>
    <xf numFmtId="0" fontId="14" fillId="6" borderId="5" xfId="0" applyFont="1" applyFill="1" applyBorder="1" applyAlignment="1">
      <alignment horizontal="left" vertical="top"/>
    </xf>
    <xf numFmtId="0" fontId="2" fillId="5" borderId="12" xfId="0" applyFont="1" applyFill="1" applyBorder="1" applyAlignment="1">
      <alignment horizontal="center"/>
    </xf>
    <xf numFmtId="0" fontId="2" fillId="5" borderId="13" xfId="0" applyFont="1" applyFill="1" applyBorder="1" applyAlignment="1">
      <alignment horizontal="center"/>
    </xf>
    <xf numFmtId="0" fontId="17" fillId="6" borderId="23" xfId="0" applyFont="1" applyFill="1" applyBorder="1" applyAlignment="1">
      <alignment horizontal="left"/>
    </xf>
    <xf numFmtId="0" fontId="17" fillId="6" borderId="24" xfId="0" applyFont="1" applyFill="1" applyBorder="1" applyAlignment="1">
      <alignment horizontal="left"/>
    </xf>
    <xf numFmtId="0" fontId="17" fillId="6" borderId="25" xfId="0" applyFont="1" applyFill="1" applyBorder="1" applyAlignment="1">
      <alignment horizontal="left"/>
    </xf>
    <xf numFmtId="0" fontId="0" fillId="6" borderId="26" xfId="0" applyFill="1" applyBorder="1" applyAlignment="1">
      <alignment horizontal="left"/>
    </xf>
    <xf numFmtId="0" fontId="0" fillId="6" borderId="27" xfId="0" applyFill="1" applyBorder="1" applyAlignment="1">
      <alignment horizontal="left"/>
    </xf>
    <xf numFmtId="0" fontId="0" fillId="6" borderId="28" xfId="0" applyFill="1" applyBorder="1" applyAlignment="1">
      <alignment horizontal="left"/>
    </xf>
    <xf numFmtId="0" fontId="0" fillId="5" borderId="60" xfId="0" applyFill="1" applyBorder="1" applyAlignment="1">
      <alignment horizontal="center"/>
    </xf>
    <xf numFmtId="0" fontId="0" fillId="5" borderId="59" xfId="0" applyFill="1" applyBorder="1" applyAlignment="1">
      <alignment horizontal="center"/>
    </xf>
    <xf numFmtId="0" fontId="0" fillId="5" borderId="58" xfId="0" applyFill="1" applyBorder="1" applyAlignment="1">
      <alignment horizontal="center"/>
    </xf>
    <xf numFmtId="0" fontId="0" fillId="6" borderId="29" xfId="0" applyFill="1" applyBorder="1" applyAlignment="1">
      <alignment horizontal="left" vertical="top"/>
    </xf>
    <xf numFmtId="0" fontId="0" fillId="6" borderId="30" xfId="0" applyFill="1" applyBorder="1" applyAlignment="1">
      <alignment horizontal="left" vertical="top"/>
    </xf>
    <xf numFmtId="0" fontId="0" fillId="6" borderId="31" xfId="0" applyFill="1" applyBorder="1" applyAlignment="1">
      <alignment horizontal="left" vertical="top"/>
    </xf>
    <xf numFmtId="0" fontId="0" fillId="6" borderId="32" xfId="0" applyFill="1" applyBorder="1" applyAlignment="1">
      <alignment horizontal="left" vertical="top"/>
    </xf>
    <xf numFmtId="0" fontId="0" fillId="6" borderId="0" xfId="0" applyFill="1" applyAlignment="1">
      <alignment horizontal="left" vertical="top"/>
    </xf>
    <xf numFmtId="0" fontId="0" fillId="6" borderId="33" xfId="0" applyFill="1" applyBorder="1" applyAlignment="1">
      <alignment horizontal="left" vertical="top"/>
    </xf>
    <xf numFmtId="0" fontId="0" fillId="6" borderId="34" xfId="0" applyFill="1" applyBorder="1" applyAlignment="1">
      <alignment horizontal="left" vertical="top"/>
    </xf>
    <xf numFmtId="0" fontId="0" fillId="6" borderId="35" xfId="0" applyFill="1" applyBorder="1" applyAlignment="1">
      <alignment horizontal="left" vertical="top"/>
    </xf>
    <xf numFmtId="0" fontId="0" fillId="6" borderId="36" xfId="0" applyFill="1" applyBorder="1" applyAlignment="1">
      <alignment horizontal="left" vertical="top"/>
    </xf>
    <xf numFmtId="0" fontId="0" fillId="4" borderId="40" xfId="0" applyFill="1" applyBorder="1" applyAlignment="1">
      <alignment horizontal="left" wrapText="1"/>
    </xf>
    <xf numFmtId="0" fontId="0" fillId="4" borderId="41" xfId="0" applyFill="1" applyBorder="1" applyAlignment="1">
      <alignment horizontal="left" wrapText="1"/>
    </xf>
    <xf numFmtId="0" fontId="0" fillId="4" borderId="42" xfId="0" applyFill="1" applyBorder="1" applyAlignment="1">
      <alignment horizontal="left" wrapText="1"/>
    </xf>
    <xf numFmtId="0" fontId="0" fillId="4" borderId="38" xfId="0" applyFill="1" applyBorder="1" applyAlignment="1">
      <alignment horizontal="left" wrapText="1"/>
    </xf>
    <xf numFmtId="0" fontId="0" fillId="4" borderId="49" xfId="0" applyFill="1" applyBorder="1" applyAlignment="1">
      <alignment horizontal="left" wrapText="1"/>
    </xf>
    <xf numFmtId="0" fontId="0" fillId="4" borderId="50" xfId="0" applyFill="1" applyBorder="1" applyAlignment="1">
      <alignment horizontal="left" wrapText="1"/>
    </xf>
    <xf numFmtId="0" fontId="0" fillId="4" borderId="45" xfId="0" applyFill="1" applyBorder="1" applyAlignment="1">
      <alignment horizontal="center" vertical="center"/>
    </xf>
    <xf numFmtId="0" fontId="0" fillId="4" borderId="46" xfId="0" applyFill="1" applyBorder="1" applyAlignment="1">
      <alignment horizontal="center" vertical="center"/>
    </xf>
    <xf numFmtId="0" fontId="0" fillId="4" borderId="39" xfId="0" applyFill="1" applyBorder="1" applyAlignment="1">
      <alignment horizontal="center" vertical="center"/>
    </xf>
    <xf numFmtId="0" fontId="0" fillId="4" borderId="37" xfId="0" applyFill="1" applyBorder="1" applyAlignment="1">
      <alignment horizontal="center" vertical="center"/>
    </xf>
    <xf numFmtId="0" fontId="0" fillId="4" borderId="43" xfId="0" applyFill="1" applyBorder="1" applyAlignment="1">
      <alignment horizontal="center" vertical="center"/>
    </xf>
    <xf numFmtId="0" fontId="0" fillId="4" borderId="44" xfId="0" applyFill="1" applyBorder="1" applyAlignment="1">
      <alignment horizontal="center" vertical="center"/>
    </xf>
    <xf numFmtId="0" fontId="0" fillId="4" borderId="47" xfId="0" applyFill="1" applyBorder="1" applyAlignment="1">
      <alignment horizontal="center" vertical="center"/>
    </xf>
    <xf numFmtId="0" fontId="0" fillId="4" borderId="48" xfId="0" applyFill="1" applyBorder="1" applyAlignment="1">
      <alignment horizontal="center" vertical="center"/>
    </xf>
    <xf numFmtId="0" fontId="0" fillId="4" borderId="51" xfId="0" applyFill="1" applyBorder="1" applyAlignment="1">
      <alignment horizontal="center" vertical="center"/>
    </xf>
    <xf numFmtId="0" fontId="0" fillId="4" borderId="0" xfId="0" applyFill="1" applyAlignment="1">
      <alignment horizontal="left" wrapText="1"/>
    </xf>
    <xf numFmtId="0" fontId="0" fillId="5" borderId="0" xfId="0" applyFill="1" applyBorder="1"/>
    <xf numFmtId="0" fontId="17" fillId="5" borderId="0" xfId="0" applyFont="1" applyFill="1" applyBorder="1"/>
    <xf numFmtId="0" fontId="0" fillId="4" borderId="0" xfId="0" applyFill="1" applyBorder="1" applyAlignment="1">
      <alignment horizontal="left"/>
    </xf>
    <xf numFmtId="0" fontId="1" fillId="0" borderId="0" xfId="0" applyFont="1" applyFill="1"/>
  </cellXfs>
  <cellStyles count="2">
    <cellStyle name="Hyperlink" xfId="1" builtinId="8"/>
    <cellStyle name="Normal" xfId="0" builtinId="0"/>
  </cellStyles>
  <dxfs count="67">
    <dxf>
      <fill>
        <patternFill>
          <bgColor theme="5" tint="0.39994506668294322"/>
        </patternFill>
      </fill>
    </dxf>
    <dxf>
      <font>
        <color theme="8" tint="0.59996337778862885"/>
      </font>
    </dxf>
    <dxf>
      <font>
        <color theme="8" tint="0.59996337778862885"/>
      </font>
    </dxf>
    <dxf>
      <font>
        <color theme="8" tint="0.59996337778862885"/>
      </font>
    </dxf>
    <dxf>
      <font>
        <b/>
        <i val="0"/>
      </font>
    </dxf>
    <dxf>
      <font>
        <color theme="8" tint="0.59996337778862885"/>
      </font>
    </dxf>
    <dxf>
      <font>
        <color theme="8" tint="0.59996337778862885"/>
      </font>
    </dxf>
    <dxf>
      <font>
        <color theme="8" tint="0.59996337778862885"/>
      </font>
    </dxf>
    <dxf>
      <font>
        <color theme="8" tint="0.59996337778862885"/>
      </font>
    </dxf>
    <dxf>
      <font>
        <color theme="8" tint="0.59996337778862885"/>
      </font>
    </dxf>
    <dxf>
      <font>
        <color theme="8" tint="0.59996337778862885"/>
      </font>
    </dxf>
    <dxf>
      <font>
        <color theme="8" tint="0.59996337778862885"/>
      </font>
    </dxf>
    <dxf>
      <font>
        <color theme="8" tint="0.59996337778862885"/>
      </font>
    </dxf>
    <dxf>
      <font>
        <color theme="8" tint="0.59996337778862885"/>
      </font>
    </dxf>
    <dxf>
      <font>
        <color theme="8" tint="0.59996337778862885"/>
      </font>
    </dxf>
    <dxf>
      <font>
        <color theme="8" tint="0.59996337778862885"/>
      </font>
    </dxf>
    <dxf>
      <font>
        <color theme="8" tint="0.59996337778862885"/>
      </font>
    </dxf>
    <dxf>
      <font>
        <color theme="8" tint="0.59996337778862885"/>
      </font>
    </dxf>
    <dxf>
      <font>
        <color theme="8" tint="0.59996337778862885"/>
      </font>
    </dxf>
    <dxf>
      <font>
        <color theme="8" tint="0.59996337778862885"/>
      </font>
    </dxf>
    <dxf>
      <font>
        <color theme="8" tint="0.59996337778862885"/>
      </font>
    </dxf>
    <dxf>
      <font>
        <color theme="0" tint="-0.24994659260841701"/>
      </font>
    </dxf>
    <dxf>
      <font>
        <color theme="0" tint="-0.14996795556505021"/>
      </font>
    </dxf>
    <dxf>
      <font>
        <color theme="0" tint="-0.24994659260841701"/>
      </font>
    </dxf>
    <dxf>
      <font>
        <color theme="0" tint="-0.14996795556505021"/>
      </font>
    </dxf>
    <dxf>
      <font>
        <color theme="0" tint="-0.24994659260841701"/>
      </font>
    </dxf>
    <dxf>
      <font>
        <color theme="0" tint="-0.14996795556505021"/>
      </font>
    </dxf>
    <dxf>
      <font>
        <color theme="0" tint="-0.24994659260841701"/>
      </font>
    </dxf>
    <dxf>
      <font>
        <color theme="0" tint="-0.14996795556505021"/>
      </font>
    </dxf>
    <dxf>
      <font>
        <color theme="0" tint="-0.14996795556505021"/>
      </font>
    </dxf>
    <dxf>
      <font>
        <color theme="0" tint="-0.24994659260841701"/>
      </font>
    </dxf>
    <dxf>
      <font>
        <color theme="0" tint="-0.24994659260841701"/>
      </font>
    </dxf>
    <dxf>
      <font>
        <color theme="0" tint="-0.24994659260841701"/>
      </font>
    </dxf>
    <dxf>
      <font>
        <color theme="0" tint="-0.14996795556505021"/>
      </font>
    </dxf>
    <dxf>
      <font>
        <color theme="0" tint="-0.14996795556505021"/>
      </font>
    </dxf>
    <dxf>
      <font>
        <color theme="0" tint="-0.14996795556505021"/>
      </font>
    </dxf>
    <dxf>
      <font>
        <color theme="0" tint="-0.24994659260841701"/>
      </font>
    </dxf>
    <dxf>
      <font>
        <color theme="0" tint="-0.24994659260841701"/>
      </font>
    </dxf>
    <dxf>
      <font>
        <color theme="0" tint="-0.14996795556505021"/>
      </font>
    </dxf>
    <dxf>
      <font>
        <color theme="0" tint="-0.24994659260841701"/>
      </font>
    </dxf>
    <dxf>
      <font>
        <color theme="0" tint="-0.14996795556505021"/>
      </font>
    </dxf>
    <dxf>
      <font>
        <color theme="0" tint="-0.24994659260841701"/>
      </font>
    </dxf>
    <dxf>
      <font>
        <color theme="0" tint="-0.14996795556505021"/>
      </font>
    </dxf>
    <dxf>
      <font>
        <color theme="0" tint="-0.14996795556505021"/>
      </font>
    </dxf>
    <dxf>
      <font>
        <color theme="8" tint="0.59996337778862885"/>
      </font>
    </dxf>
    <dxf>
      <font>
        <color theme="8" tint="0.39994506668294322"/>
      </font>
    </dxf>
    <dxf>
      <font>
        <color theme="8" tint="0.59996337778862885"/>
      </font>
    </dxf>
    <dxf>
      <font>
        <color theme="8" tint="0.59996337778862885"/>
      </font>
    </dxf>
    <dxf>
      <font>
        <color theme="8" tint="0.39994506668294322"/>
      </font>
    </dxf>
    <dxf>
      <font>
        <color theme="0" tint="-0.24994659260841701"/>
      </font>
    </dxf>
    <dxf>
      <font>
        <color theme="0" tint="-0.24994659260841701"/>
      </font>
    </dxf>
    <dxf>
      <font>
        <color theme="0" tint="-0.14996795556505021"/>
      </font>
    </dxf>
    <dxf>
      <font>
        <color theme="0" tint="-0.14996795556505021"/>
      </font>
    </dxf>
    <dxf>
      <font>
        <color theme="0" tint="-0.24994659260841701"/>
      </font>
    </dxf>
    <dxf>
      <font>
        <color theme="0" tint="-0.14996795556505021"/>
      </font>
    </dxf>
    <dxf>
      <font>
        <color theme="0" tint="-0.24994659260841701"/>
      </font>
    </dxf>
    <dxf>
      <font>
        <color theme="0" tint="-0.24994659260841701"/>
      </font>
    </dxf>
    <dxf>
      <font>
        <color theme="0" tint="-0.14996795556505021"/>
      </font>
    </dxf>
    <dxf>
      <font>
        <color theme="0" tint="-0.14996795556505021"/>
      </font>
    </dxf>
    <dxf>
      <font>
        <color theme="0" tint="-0.24994659260841701"/>
      </font>
    </dxf>
    <dxf>
      <font>
        <color theme="0" tint="-0.14996795556505021"/>
      </font>
    </dxf>
    <dxf>
      <font>
        <b val="0"/>
        <i val="0"/>
        <color theme="1"/>
      </font>
    </dxf>
    <dxf>
      <font>
        <color theme="0" tint="-0.24994659260841701"/>
      </font>
    </dxf>
    <dxf>
      <font>
        <color theme="8" tint="0.39994506668294322"/>
      </font>
    </dxf>
    <dxf>
      <font>
        <color theme="8" tint="0.39994506668294322"/>
      </font>
    </dxf>
    <dxf>
      <font>
        <color theme="8" tint="0.39994506668294322"/>
      </font>
    </dxf>
    <dxf>
      <font>
        <color theme="8" tint="0.399945066682943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DAWorkings!$K$10" lockText="1"/>
</file>

<file path=xl/ctrlProps/ctrlProp10.xml><?xml version="1.0" encoding="utf-8"?>
<formControlPr xmlns="http://schemas.microsoft.com/office/spreadsheetml/2009/9/main" objectType="CheckBox" fmlaLink="DAWorkings!$Q$12" lockText="1"/>
</file>

<file path=xl/ctrlProps/ctrlProp11.xml><?xml version="1.0" encoding="utf-8"?>
<formControlPr xmlns="http://schemas.microsoft.com/office/spreadsheetml/2009/9/main" objectType="CheckBox" fmlaLink="DAWorkings!$Q$11" lockText="1"/>
</file>

<file path=xl/ctrlProps/ctrlProp12.xml><?xml version="1.0" encoding="utf-8"?>
<formControlPr xmlns="http://schemas.microsoft.com/office/spreadsheetml/2009/9/main" objectType="CheckBox" fmlaLink="DAWorkings!$Q$13" lockText="1"/>
</file>

<file path=xl/ctrlProps/ctrlProp13.xml><?xml version="1.0" encoding="utf-8"?>
<formControlPr xmlns="http://schemas.microsoft.com/office/spreadsheetml/2009/9/main" objectType="CheckBox" fmlaLink="DAWorkings!$Q$15" lockText="1"/>
</file>

<file path=xl/ctrlProps/ctrlProp14.xml><?xml version="1.0" encoding="utf-8"?>
<formControlPr xmlns="http://schemas.microsoft.com/office/spreadsheetml/2009/9/main" objectType="CheckBox" fmlaLink="DAWorkings!$Q$16" lockText="1"/>
</file>

<file path=xl/ctrlProps/ctrlProp15.xml><?xml version="1.0" encoding="utf-8"?>
<formControlPr xmlns="http://schemas.microsoft.com/office/spreadsheetml/2009/9/main" objectType="CheckBox" fmlaLink="DAWorkings!$AC$10" lockText="1"/>
</file>

<file path=xl/ctrlProps/ctrlProp16.xml><?xml version="1.0" encoding="utf-8"?>
<formControlPr xmlns="http://schemas.microsoft.com/office/spreadsheetml/2009/9/main" objectType="CheckBox" fmlaLink="DAWorkings!$AC$12" lockText="1"/>
</file>

<file path=xl/ctrlProps/ctrlProp17.xml><?xml version="1.0" encoding="utf-8"?>
<formControlPr xmlns="http://schemas.microsoft.com/office/spreadsheetml/2009/9/main" objectType="CheckBox" fmlaLink="DAWorkings!$AC$11" lockText="1"/>
</file>

<file path=xl/ctrlProps/ctrlProp18.xml><?xml version="1.0" encoding="utf-8"?>
<formControlPr xmlns="http://schemas.microsoft.com/office/spreadsheetml/2009/9/main" objectType="CheckBox" fmlaLink="DAWorkings!$AC$13" lockText="1"/>
</file>

<file path=xl/ctrlProps/ctrlProp19.xml><?xml version="1.0" encoding="utf-8"?>
<formControlPr xmlns="http://schemas.microsoft.com/office/spreadsheetml/2009/9/main" objectType="CheckBox" fmlaLink="DAWorkings!$AO$10"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DAWorkings!$AO$12" lockText="1"/>
</file>

<file path=xl/ctrlProps/ctrlProp21.xml><?xml version="1.0" encoding="utf-8"?>
<formControlPr xmlns="http://schemas.microsoft.com/office/spreadsheetml/2009/9/main" objectType="CheckBox" fmlaLink="DAWorkings!$AO$11" lockText="1"/>
</file>

<file path=xl/ctrlProps/ctrlProp22.xml><?xml version="1.0" encoding="utf-8"?>
<formControlPr xmlns="http://schemas.microsoft.com/office/spreadsheetml/2009/9/main" objectType="CheckBox" fmlaLink="DAWorkings!$W$10" lockText="1"/>
</file>

<file path=xl/ctrlProps/ctrlProp23.xml><?xml version="1.0" encoding="utf-8"?>
<formControlPr xmlns="http://schemas.microsoft.com/office/spreadsheetml/2009/9/main" objectType="CheckBox" fmlaLink="DAWorkings!$W$11" lockText="1"/>
</file>

<file path=xl/ctrlProps/ctrlProp24.xml><?xml version="1.0" encoding="utf-8"?>
<formControlPr xmlns="http://schemas.microsoft.com/office/spreadsheetml/2009/9/main" objectType="CheckBox" fmlaLink="DAWorkings!$W$15" lockText="1"/>
</file>

<file path=xl/ctrlProps/ctrlProp25.xml><?xml version="1.0" encoding="utf-8"?>
<formControlPr xmlns="http://schemas.microsoft.com/office/spreadsheetml/2009/9/main" objectType="CheckBox" fmlaLink="DAWorkings!$E$10" lockText="1"/>
</file>

<file path=xl/ctrlProps/ctrlProp26.xml><?xml version="1.0" encoding="utf-8"?>
<formControlPr xmlns="http://schemas.microsoft.com/office/spreadsheetml/2009/9/main" objectType="CheckBox" fmlaLink="DAWorkings!$E$11" lockText="1"/>
</file>

<file path=xl/ctrlProps/ctrlProp27.xml><?xml version="1.0" encoding="utf-8"?>
<formControlPr xmlns="http://schemas.microsoft.com/office/spreadsheetml/2009/9/main" objectType="CheckBox" fmlaLink="DAWorkings!$E$12" lockText="1"/>
</file>

<file path=xl/ctrlProps/ctrlProp28.xml><?xml version="1.0" encoding="utf-8"?>
<formControlPr xmlns="http://schemas.microsoft.com/office/spreadsheetml/2009/9/main" objectType="CheckBox" fmlaLink="DAWorkings!$E$16" lockText="1"/>
</file>

<file path=xl/ctrlProps/ctrlProp29.xml><?xml version="1.0" encoding="utf-8"?>
<formControlPr xmlns="http://schemas.microsoft.com/office/spreadsheetml/2009/9/main" objectType="CheckBox" fmlaLink="DAWorkings!$E$17" lockText="1"/>
</file>

<file path=xl/ctrlProps/ctrlProp3.xml><?xml version="1.0" encoding="utf-8"?>
<formControlPr xmlns="http://schemas.microsoft.com/office/spreadsheetml/2009/9/main" objectType="CheckBox" fmlaLink="DAWorkings!$K$11" lockText="1"/>
</file>

<file path=xl/ctrlProps/ctrlProp30.xml><?xml version="1.0" encoding="utf-8"?>
<formControlPr xmlns="http://schemas.microsoft.com/office/spreadsheetml/2009/9/main" objectType="CheckBox" fmlaLink="DAWorkings!$E$19" lockText="1"/>
</file>

<file path=xl/ctrlProps/ctrlProp31.xml><?xml version="1.0" encoding="utf-8"?>
<formControlPr xmlns="http://schemas.microsoft.com/office/spreadsheetml/2009/9/main" objectType="CheckBox" fmlaLink="DAWorkings!$E$20" lockText="1"/>
</file>

<file path=xl/ctrlProps/ctrlProp32.xml><?xml version="1.0" encoding="utf-8"?>
<formControlPr xmlns="http://schemas.microsoft.com/office/spreadsheetml/2009/9/main" objectType="CheckBox" fmlaLink="DAWorkings!$E$21" lockText="1"/>
</file>

<file path=xl/ctrlProps/ctrlProp33.xml><?xml version="1.0" encoding="utf-8"?>
<formControlPr xmlns="http://schemas.microsoft.com/office/spreadsheetml/2009/9/main" objectType="CheckBox" fmlaLink="DAWorkings!$E$18" lockText="1"/>
</file>

<file path=xl/ctrlProps/ctrlProp34.xml><?xml version="1.0" encoding="utf-8"?>
<formControlPr xmlns="http://schemas.microsoft.com/office/spreadsheetml/2009/9/main" objectType="CheckBox" fmlaLink="DAWorkings!$E$22" lockText="1"/>
</file>

<file path=xl/ctrlProps/ctrlProp35.xml><?xml version="1.0" encoding="utf-8"?>
<formControlPr xmlns="http://schemas.microsoft.com/office/spreadsheetml/2009/9/main" objectType="CheckBox" fmlaLink="DAWorkings!$E$23" lockText="1"/>
</file>

<file path=xl/ctrlProps/ctrlProp36.xml><?xml version="1.0" encoding="utf-8"?>
<formControlPr xmlns="http://schemas.microsoft.com/office/spreadsheetml/2009/9/main" objectType="CheckBox" checked="Checked" fmlaLink="DAWorkings!$AI$9" lockText="1"/>
</file>

<file path=xl/ctrlProps/ctrlProp37.xml><?xml version="1.0" encoding="utf-8"?>
<formControlPr xmlns="http://schemas.microsoft.com/office/spreadsheetml/2009/9/main" objectType="CheckBox" fmlaLink="DAWorkings!$E$66" lockText="1"/>
</file>

<file path=xl/ctrlProps/ctrlProp38.xml><?xml version="1.0" encoding="utf-8"?>
<formControlPr xmlns="http://schemas.microsoft.com/office/spreadsheetml/2009/9/main" objectType="CheckBox" fmlaLink="DAWorkings!$E$67" lockText="1"/>
</file>

<file path=xl/ctrlProps/ctrlProp39.xml><?xml version="1.0" encoding="utf-8"?>
<formControlPr xmlns="http://schemas.microsoft.com/office/spreadsheetml/2009/9/main" objectType="CheckBox" fmlaLink="DAWorkings!$E$68" lockText="1"/>
</file>

<file path=xl/ctrlProps/ctrlProp4.xml><?xml version="1.0" encoding="utf-8"?>
<formControlPr xmlns="http://schemas.microsoft.com/office/spreadsheetml/2009/9/main" objectType="CheckBox" fmlaLink="DAWorkings!$K$12" lockText="1"/>
</file>

<file path=xl/ctrlProps/ctrlProp40.xml><?xml version="1.0" encoding="utf-8"?>
<formControlPr xmlns="http://schemas.microsoft.com/office/spreadsheetml/2009/9/main" objectType="CheckBox" fmlaLink="DAWorkings!$E$69" lockText="1"/>
</file>

<file path=xl/ctrlProps/ctrlProp41.xml><?xml version="1.0" encoding="utf-8"?>
<formControlPr xmlns="http://schemas.microsoft.com/office/spreadsheetml/2009/9/main" objectType="CheckBox" fmlaLink="DAWorkings!$E$70" lockText="1"/>
</file>

<file path=xl/ctrlProps/ctrlProp42.xml><?xml version="1.0" encoding="utf-8"?>
<formControlPr xmlns="http://schemas.microsoft.com/office/spreadsheetml/2009/9/main" objectType="CheckBox" fmlaLink="DAWorkings!$E$72" lockText="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DAWorkings!$E$73" lockText="1"/>
</file>

<file path=xl/ctrlProps/ctrlProp45.xml><?xml version="1.0" encoding="utf-8"?>
<formControlPr xmlns="http://schemas.microsoft.com/office/spreadsheetml/2009/9/main" objectType="CheckBox" fmlaLink="DAWorkings!$E$74" lockText="1"/>
</file>

<file path=xl/ctrlProps/ctrlProp46.xml><?xml version="1.0" encoding="utf-8"?>
<formControlPr xmlns="http://schemas.microsoft.com/office/spreadsheetml/2009/9/main" objectType="CheckBox" fmlaLink="DAWorkings!$E$75" lockText="1"/>
</file>

<file path=xl/ctrlProps/ctrlProp47.xml><?xml version="1.0" encoding="utf-8"?>
<formControlPr xmlns="http://schemas.microsoft.com/office/spreadsheetml/2009/9/main" objectType="CheckBox" fmlaLink="DAWorkings!$E$76" lockText="1"/>
</file>

<file path=xl/ctrlProps/ctrlProp48.xml><?xml version="1.0" encoding="utf-8"?>
<formControlPr xmlns="http://schemas.microsoft.com/office/spreadsheetml/2009/9/main" objectType="CheckBox" fmlaLink="DAWorkings!$E$77" lockText="1"/>
</file>

<file path=xl/ctrlProps/ctrlProp49.xml><?xml version="1.0" encoding="utf-8"?>
<formControlPr xmlns="http://schemas.microsoft.com/office/spreadsheetml/2009/9/main" objectType="CheckBox" fmlaLink="DAWorkings!$E$71" lockText="1"/>
</file>

<file path=xl/ctrlProps/ctrlProp5.xml><?xml version="1.0" encoding="utf-8"?>
<formControlPr xmlns="http://schemas.microsoft.com/office/spreadsheetml/2009/9/main" objectType="CheckBox" fmlaLink="DAWorkings!$K$13" lockText="1"/>
</file>

<file path=xl/ctrlProps/ctrlProp50.xml><?xml version="1.0" encoding="utf-8"?>
<formControlPr xmlns="http://schemas.microsoft.com/office/spreadsheetml/2009/9/main" objectType="CheckBox" fmlaLink="DAWorkings!$E$78"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fmlaLink="DAWorkings!$K$15" lockText="1"/>
</file>

<file path=xl/ctrlProps/ctrlProp7.xml><?xml version="1.0" encoding="utf-8"?>
<formControlPr xmlns="http://schemas.microsoft.com/office/spreadsheetml/2009/9/main" objectType="CheckBox" fmlaLink="DAWorkings!$K$16" lockText="1"/>
</file>

<file path=xl/ctrlProps/ctrlProp8.xml><?xml version="1.0" encoding="utf-8"?>
<formControlPr xmlns="http://schemas.microsoft.com/office/spreadsheetml/2009/9/main" objectType="CheckBox" fmlaLink="DAWorkings!$K$17" lockText="1"/>
</file>

<file path=xl/ctrlProps/ctrlProp9.xml><?xml version="1.0" encoding="utf-8"?>
<formControlPr xmlns="http://schemas.microsoft.com/office/spreadsheetml/2009/9/main" objectType="CheckBox" fmlaLink="DAWorkings!$Q$10" lockText="1"/>
</file>

<file path=xl/drawings/_rels/drawing1.xml.rels><?xml version="1.0" encoding="UTF-8" standalone="yes"?>
<Relationships xmlns="http://schemas.openxmlformats.org/package/2006/relationships"><Relationship Id="rId1" Type="http://schemas.openxmlformats.org/officeDocument/2006/relationships/hyperlink" Target="#'Privacy Essentials Introduction'!F17"/></Relationships>
</file>

<file path=xl/drawings/_rels/drawing1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Privacy Essentials Introduction'!B9"/></Relationships>
</file>

<file path=xl/drawings/_rels/drawing1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Privacy Essentials Introduction'!B9"/><Relationship Id="rId4" Type="http://schemas.openxmlformats.org/officeDocument/2006/relationships/hyperlink" Target="#'Limitations and Improvements'!B5"/></Relationships>
</file>

<file path=xl/drawings/_rels/drawing2.xml.rels><?xml version="1.0" encoding="UTF-8" standalone="yes"?>
<Relationships xmlns="http://schemas.openxmlformats.org/package/2006/relationships"><Relationship Id="rId8" Type="http://schemas.openxmlformats.org/officeDocument/2006/relationships/hyperlink" Target="#DPIA!B5"/><Relationship Id="rId3" Type="http://schemas.openxmlformats.org/officeDocument/2006/relationships/hyperlink" Target="#'P - Policy &amp; Procedures'!B5"/><Relationship Id="rId7" Type="http://schemas.openxmlformats.org/officeDocument/2006/relationships/hyperlink" Target="#'Retention Schedule'!B5"/><Relationship Id="rId2" Type="http://schemas.openxmlformats.org/officeDocument/2006/relationships/hyperlink" Target="#'W - Worfklow'!B5"/><Relationship Id="rId1" Type="http://schemas.openxmlformats.org/officeDocument/2006/relationships/hyperlink" Target="#'D - Data Collection'!B5"/><Relationship Id="rId6" Type="http://schemas.openxmlformats.org/officeDocument/2006/relationships/hyperlink" Target="#'Appropriate Policy Documentt'!B5"/><Relationship Id="rId5" Type="http://schemas.openxmlformats.org/officeDocument/2006/relationships/hyperlink" Target="#Recommendations!B5"/><Relationship Id="rId4" Type="http://schemas.openxmlformats.org/officeDocument/2006/relationships/hyperlink" Target="#'Data Risk Register'!B5"/><Relationship Id="rId9" Type="http://schemas.openxmlformats.org/officeDocument/2006/relationships/hyperlink" Target="#'Limitations and Improvements'!B5"/></Relationships>
</file>

<file path=xl/drawings/_rels/drawing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Privacy Essentials Introduction'!B9"/><Relationship Id="rId4" Type="http://schemas.openxmlformats.org/officeDocument/2006/relationships/hyperlink" Target="#'W - Worfklow'!B5"/></Relationships>
</file>

<file path=xl/drawings/_rels/drawing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Privacy Essentials Introduction'!B9"/><Relationship Id="rId4" Type="http://schemas.openxmlformats.org/officeDocument/2006/relationships/hyperlink" Target="#'P - Policy &amp; Procedures'!B5"/></Relationships>
</file>

<file path=xl/drawings/_rels/drawing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Privacy Essentials Introduction'!B9"/><Relationship Id="rId6" Type="http://schemas.openxmlformats.org/officeDocument/2006/relationships/hyperlink" Target="#DPIA!B5"/><Relationship Id="rId5" Type="http://schemas.openxmlformats.org/officeDocument/2006/relationships/hyperlink" Target="#Recommendations!B5"/><Relationship Id="rId4" Type="http://schemas.openxmlformats.org/officeDocument/2006/relationships/hyperlink" Target="#'Appropriate Policy Documentt'!B5"/></Relationships>
</file>

<file path=xl/drawings/_rels/drawing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Privacy Essentials Introduction'!B9"/></Relationships>
</file>

<file path=xl/drawings/_rels/drawing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Privacy Essentials Introduction'!B9"/></Relationships>
</file>

<file path=xl/drawings/_rels/drawing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Privacy Essentials Introduction'!B9"/></Relationships>
</file>

<file path=xl/drawings/_rels/drawing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Privacy Essentials Introduction'!B9"/></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28575</xdr:rowOff>
    </xdr:from>
    <xdr:to>
      <xdr:col>14</xdr:col>
      <xdr:colOff>575632</xdr:colOff>
      <xdr:row>7</xdr:row>
      <xdr:rowOff>157220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619125" y="790575"/>
          <a:ext cx="8490907" cy="1271645"/>
        </a:xfrm>
        <a:prstGeom prst="roundRect">
          <a:avLst/>
        </a:prstGeom>
        <a:solidFill>
          <a:schemeClr val="tx1">
            <a:lumMod val="85000"/>
            <a:lumOff val="1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5400">
              <a:solidFill>
                <a:schemeClr val="bg1">
                  <a:lumMod val="95000"/>
                </a:schemeClr>
              </a:solidFill>
            </a:rPr>
            <a:t>Privacy Essentials!</a:t>
          </a:r>
        </a:p>
        <a:p>
          <a:pPr algn="ctr"/>
          <a:r>
            <a:rPr lang="en-GB" sz="3100">
              <a:solidFill>
                <a:schemeClr val="bg1">
                  <a:lumMod val="75000"/>
                </a:schemeClr>
              </a:solidFill>
            </a:rPr>
            <a:t>A Data Privacy Tool for Charities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19050</xdr:colOff>
      <xdr:row>0</xdr:row>
      <xdr:rowOff>66675</xdr:rowOff>
    </xdr:from>
    <xdr:to>
      <xdr:col>7</xdr:col>
      <xdr:colOff>571050</xdr:colOff>
      <xdr:row>3</xdr:row>
      <xdr:rowOff>35175</xdr:rowOff>
    </xdr:to>
    <xdr:sp macro="" textlink="">
      <xdr:nvSpPr>
        <xdr:cNvPr id="2" name="Rectangle: Rounded Corners 1">
          <a:extLst>
            <a:ext uri="{FF2B5EF4-FFF2-40B4-BE49-F238E27FC236}">
              <a16:creationId xmlns:a16="http://schemas.microsoft.com/office/drawing/2014/main" id="{00000000-0008-0000-0A00-000002000000}"/>
            </a:ext>
          </a:extLst>
        </xdr:cNvPr>
        <xdr:cNvSpPr/>
      </xdr:nvSpPr>
      <xdr:spPr>
        <a:xfrm>
          <a:off x="1238250" y="66675"/>
          <a:ext cx="3600000" cy="540000"/>
        </a:xfrm>
        <a:prstGeom prst="roundRect">
          <a:avLst/>
        </a:prstGeom>
        <a:solidFill>
          <a:schemeClr val="accent5">
            <a:lumMod val="75000"/>
          </a:schemeClr>
        </a:solidFill>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800">
              <a:solidFill>
                <a:schemeClr val="bg1">
                  <a:lumMod val="75000"/>
                </a:schemeClr>
              </a:solidFill>
            </a:rPr>
            <a:t>Data Processing Impact Assessment</a:t>
          </a:r>
          <a:r>
            <a:rPr lang="en-GB" sz="2000">
              <a:solidFill>
                <a:schemeClr val="bg1">
                  <a:lumMod val="75000"/>
                </a:schemeClr>
              </a:solidFill>
            </a:rPr>
            <a:t> </a:t>
          </a:r>
        </a:p>
      </xdr:txBody>
    </xdr:sp>
    <xdr:clientData/>
  </xdr:twoCellAnchor>
  <xdr:twoCellAnchor>
    <xdr:from>
      <xdr:col>1</xdr:col>
      <xdr:colOff>76200</xdr:colOff>
      <xdr:row>0</xdr:row>
      <xdr:rowOff>161925</xdr:rowOff>
    </xdr:from>
    <xdr:to>
      <xdr:col>1</xdr:col>
      <xdr:colOff>436200</xdr:colOff>
      <xdr:row>2</xdr:row>
      <xdr:rowOff>140925</xdr:rowOff>
    </xdr:to>
    <xdr:grpSp>
      <xdr:nvGrpSpPr>
        <xdr:cNvPr id="3" name="Group 2">
          <a:hlinkClick xmlns:r="http://schemas.openxmlformats.org/officeDocument/2006/relationships" r:id="rId1"/>
          <a:extLst>
            <a:ext uri="{FF2B5EF4-FFF2-40B4-BE49-F238E27FC236}">
              <a16:creationId xmlns:a16="http://schemas.microsoft.com/office/drawing/2014/main" id="{00000000-0008-0000-0A00-000003000000}"/>
            </a:ext>
          </a:extLst>
        </xdr:cNvPr>
        <xdr:cNvGrpSpPr/>
      </xdr:nvGrpSpPr>
      <xdr:grpSpPr>
        <a:xfrm>
          <a:off x="685800" y="161925"/>
          <a:ext cx="360000" cy="360000"/>
          <a:chOff x="10306050" y="3219450"/>
          <a:chExt cx="447675" cy="447675"/>
        </a:xfrm>
      </xdr:grpSpPr>
      <xdr:sp macro="" textlink="">
        <xdr:nvSpPr>
          <xdr:cNvPr id="4" name="Oval 3">
            <a:extLst>
              <a:ext uri="{FF2B5EF4-FFF2-40B4-BE49-F238E27FC236}">
                <a16:creationId xmlns:a16="http://schemas.microsoft.com/office/drawing/2014/main" id="{00000000-0008-0000-0A00-000004000000}"/>
              </a:ext>
            </a:extLst>
          </xdr:cNvPr>
          <xdr:cNvSpPr/>
        </xdr:nvSpPr>
        <xdr:spPr>
          <a:xfrm>
            <a:off x="10306050" y="3219450"/>
            <a:ext cx="447675" cy="447675"/>
          </a:xfrm>
          <a:prstGeom prst="ellipse">
            <a:avLst/>
          </a:prstGeom>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outline">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382250" y="3267075"/>
            <a:ext cx="311924" cy="311924"/>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85725</xdr:colOff>
      <xdr:row>0</xdr:row>
      <xdr:rowOff>104775</xdr:rowOff>
    </xdr:from>
    <xdr:to>
      <xdr:col>1</xdr:col>
      <xdr:colOff>445725</xdr:colOff>
      <xdr:row>2</xdr:row>
      <xdr:rowOff>83775</xdr:rowOff>
    </xdr:to>
    <xdr:grpSp>
      <xdr:nvGrpSpPr>
        <xdr:cNvPr id="2" name="Group 1">
          <a:hlinkClick xmlns:r="http://schemas.openxmlformats.org/officeDocument/2006/relationships" r:id="rId1"/>
          <a:extLst>
            <a:ext uri="{FF2B5EF4-FFF2-40B4-BE49-F238E27FC236}">
              <a16:creationId xmlns:a16="http://schemas.microsoft.com/office/drawing/2014/main" id="{00000000-0008-0000-0B00-000002000000}"/>
            </a:ext>
          </a:extLst>
        </xdr:cNvPr>
        <xdr:cNvGrpSpPr/>
      </xdr:nvGrpSpPr>
      <xdr:grpSpPr>
        <a:xfrm>
          <a:off x="695325" y="104775"/>
          <a:ext cx="360000" cy="360000"/>
          <a:chOff x="10306050" y="3219450"/>
          <a:chExt cx="447675" cy="447675"/>
        </a:xfrm>
      </xdr:grpSpPr>
      <xdr:sp macro="" textlink="">
        <xdr:nvSpPr>
          <xdr:cNvPr id="3" name="Oval 2">
            <a:extLst>
              <a:ext uri="{FF2B5EF4-FFF2-40B4-BE49-F238E27FC236}">
                <a16:creationId xmlns:a16="http://schemas.microsoft.com/office/drawing/2014/main" id="{00000000-0008-0000-0B00-000003000000}"/>
              </a:ext>
            </a:extLst>
          </xdr:cNvPr>
          <xdr:cNvSpPr/>
        </xdr:nvSpPr>
        <xdr:spPr>
          <a:xfrm>
            <a:off x="10306050" y="3219450"/>
            <a:ext cx="447675" cy="447675"/>
          </a:xfrm>
          <a:prstGeom prst="ellipse">
            <a:avLst/>
          </a:prstGeom>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4" name="Graphic 3" descr="Home outline">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382250" y="3267075"/>
            <a:ext cx="311924" cy="311924"/>
          </a:xfrm>
          <a:prstGeom prst="rect">
            <a:avLst/>
          </a:prstGeom>
        </xdr:spPr>
      </xdr:pic>
    </xdr:grpSp>
    <xdr:clientData/>
  </xdr:twoCellAnchor>
  <xdr:twoCellAnchor>
    <xdr:from>
      <xdr:col>2</xdr:col>
      <xdr:colOff>19050</xdr:colOff>
      <xdr:row>0</xdr:row>
      <xdr:rowOff>57150</xdr:rowOff>
    </xdr:from>
    <xdr:to>
      <xdr:col>5</xdr:col>
      <xdr:colOff>0</xdr:colOff>
      <xdr:row>2</xdr:row>
      <xdr:rowOff>138170</xdr:rowOff>
    </xdr:to>
    <xdr:sp macro="" textlink="">
      <xdr:nvSpPr>
        <xdr:cNvPr id="5" name="Rectangle: Rounded Corners 4">
          <a:hlinkClick xmlns:r="http://schemas.openxmlformats.org/officeDocument/2006/relationships" r:id="rId4"/>
          <a:extLst>
            <a:ext uri="{FF2B5EF4-FFF2-40B4-BE49-F238E27FC236}">
              <a16:creationId xmlns:a16="http://schemas.microsoft.com/office/drawing/2014/main" id="{00000000-0008-0000-0B00-000005000000}"/>
            </a:ext>
          </a:extLst>
        </xdr:cNvPr>
        <xdr:cNvSpPr/>
      </xdr:nvSpPr>
      <xdr:spPr>
        <a:xfrm>
          <a:off x="1238250" y="57150"/>
          <a:ext cx="1809750" cy="462020"/>
        </a:xfrm>
        <a:prstGeom prst="roundRect">
          <a:avLst/>
        </a:prstGeom>
        <a:solidFill>
          <a:schemeClr val="tx1">
            <a:lumMod val="75000"/>
            <a:lumOff val="25000"/>
          </a:schemeClr>
        </a:solidFill>
        <a:effectLst>
          <a:outerShdw blurRad="50800" dist="38100" dir="2700000" algn="tl" rotWithShape="0">
            <a:schemeClr val="accent5">
              <a:lumMod val="20000"/>
              <a:lumOff val="80000"/>
              <a:alpha val="40000"/>
            </a:scheme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300">
              <a:solidFill>
                <a:schemeClr val="bg1"/>
              </a:solidFill>
            </a:rPr>
            <a:t>The Everything Else</a:t>
          </a:r>
          <a:r>
            <a:rPr lang="en-GB" sz="1300" baseline="0">
              <a:solidFill>
                <a:schemeClr val="bg1"/>
              </a:solidFill>
            </a:rPr>
            <a:t> Page</a:t>
          </a:r>
          <a:endParaRPr lang="en-GB" sz="13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19049</xdr:colOff>
      <xdr:row>0</xdr:row>
      <xdr:rowOff>57149</xdr:rowOff>
    </xdr:from>
    <xdr:to>
      <xdr:col>14</xdr:col>
      <xdr:colOff>585156</xdr:colOff>
      <xdr:row>6</xdr:row>
      <xdr:rowOff>185794</xdr:rowOff>
    </xdr:to>
    <xdr:sp macro="" textlink="">
      <xdr:nvSpPr>
        <xdr:cNvPr id="2" name="Rectangle: Rounded Corners 1">
          <a:extLst>
            <a:ext uri="{FF2B5EF4-FFF2-40B4-BE49-F238E27FC236}">
              <a16:creationId xmlns:a16="http://schemas.microsoft.com/office/drawing/2014/main" id="{00000000-0008-0000-0100-000002000000}"/>
            </a:ext>
          </a:extLst>
        </xdr:cNvPr>
        <xdr:cNvSpPr/>
      </xdr:nvSpPr>
      <xdr:spPr>
        <a:xfrm>
          <a:off x="628649" y="57149"/>
          <a:ext cx="8490907" cy="1271645"/>
        </a:xfrm>
        <a:prstGeom prst="roundRect">
          <a:avLst/>
        </a:prstGeom>
        <a:solidFill>
          <a:schemeClr val="tx1">
            <a:lumMod val="85000"/>
            <a:lumOff val="1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5400">
              <a:solidFill>
                <a:schemeClr val="bg1">
                  <a:lumMod val="95000"/>
                </a:schemeClr>
              </a:solidFill>
            </a:rPr>
            <a:t>Privacy Essentials!</a:t>
          </a:r>
        </a:p>
        <a:p>
          <a:pPr algn="ctr"/>
          <a:r>
            <a:rPr lang="en-GB" sz="2500">
              <a:solidFill>
                <a:schemeClr val="bg1">
                  <a:lumMod val="75000"/>
                </a:schemeClr>
              </a:solidFill>
            </a:rPr>
            <a:t>A Data Privacy Framework</a:t>
          </a:r>
          <a:r>
            <a:rPr lang="en-GB" sz="2500" baseline="0">
              <a:solidFill>
                <a:schemeClr val="bg1">
                  <a:lumMod val="75000"/>
                </a:schemeClr>
              </a:solidFill>
            </a:rPr>
            <a:t> </a:t>
          </a:r>
          <a:r>
            <a:rPr lang="en-GB" sz="2500">
              <a:solidFill>
                <a:schemeClr val="bg1">
                  <a:lumMod val="75000"/>
                </a:schemeClr>
              </a:solidFill>
            </a:rPr>
            <a:t>for Charities</a:t>
          </a:r>
        </a:p>
      </xdr:txBody>
    </xdr:sp>
    <xdr:clientData/>
  </xdr:twoCellAnchor>
  <xdr:twoCellAnchor>
    <xdr:from>
      <xdr:col>2</xdr:col>
      <xdr:colOff>19051</xdr:colOff>
      <xdr:row>43</xdr:row>
      <xdr:rowOff>19050</xdr:rowOff>
    </xdr:from>
    <xdr:to>
      <xdr:col>5</xdr:col>
      <xdr:colOff>1</xdr:colOff>
      <xdr:row>45</xdr:row>
      <xdr:rowOff>90545</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1238251" y="8267700"/>
          <a:ext cx="1809750" cy="462020"/>
        </a:xfrm>
        <a:prstGeom prst="roundRect">
          <a:avLst/>
        </a:prstGeom>
        <a:solidFill>
          <a:schemeClr val="accent5">
            <a:lumMod val="20000"/>
            <a:lumOff val="80000"/>
          </a:schemeClr>
        </a:solidFill>
        <a:effectLst>
          <a:outerShdw blurRad="50800" dist="38100" dir="2700000" algn="tl" rotWithShape="0">
            <a:schemeClr val="accent5">
              <a:lumMod val="20000"/>
              <a:lumOff val="80000"/>
              <a:alpha val="40000"/>
            </a:scheme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800">
              <a:solidFill>
                <a:schemeClr val="tx1">
                  <a:lumMod val="75000"/>
                  <a:lumOff val="25000"/>
                </a:schemeClr>
              </a:solidFill>
            </a:rPr>
            <a:t>Data Collection</a:t>
          </a:r>
        </a:p>
      </xdr:txBody>
    </xdr:sp>
    <xdr:clientData/>
  </xdr:twoCellAnchor>
  <xdr:twoCellAnchor>
    <xdr:from>
      <xdr:col>6</xdr:col>
      <xdr:colOff>0</xdr:colOff>
      <xdr:row>43</xdr:row>
      <xdr:rowOff>0</xdr:rowOff>
    </xdr:from>
    <xdr:to>
      <xdr:col>8</xdr:col>
      <xdr:colOff>590550</xdr:colOff>
      <xdr:row>45</xdr:row>
      <xdr:rowOff>71495</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3657600" y="5543550"/>
          <a:ext cx="1809750" cy="452495"/>
        </a:xfrm>
        <a:prstGeom prst="roundRect">
          <a:avLst/>
        </a:prstGeom>
        <a:solidFill>
          <a:schemeClr val="accent5">
            <a:lumMod val="40000"/>
            <a:lumOff val="60000"/>
          </a:schemeClr>
        </a:solidFill>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800">
              <a:solidFill>
                <a:schemeClr val="tx1">
                  <a:lumMod val="75000"/>
                  <a:lumOff val="25000"/>
                </a:schemeClr>
              </a:solidFill>
            </a:rPr>
            <a:t>Workflows</a:t>
          </a:r>
        </a:p>
      </xdr:txBody>
    </xdr:sp>
    <xdr:clientData/>
  </xdr:twoCellAnchor>
  <xdr:twoCellAnchor>
    <xdr:from>
      <xdr:col>10</xdr:col>
      <xdr:colOff>0</xdr:colOff>
      <xdr:row>43</xdr:row>
      <xdr:rowOff>9525</xdr:rowOff>
    </xdr:from>
    <xdr:to>
      <xdr:col>12</xdr:col>
      <xdr:colOff>590550</xdr:colOff>
      <xdr:row>45</xdr:row>
      <xdr:rowOff>81020</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6096000" y="8248650"/>
          <a:ext cx="1809750" cy="452495"/>
        </a:xfrm>
        <a:prstGeom prst="roundRect">
          <a:avLst/>
        </a:prstGeom>
        <a:solidFill>
          <a:schemeClr val="accent5">
            <a:lumMod val="60000"/>
            <a:lumOff val="40000"/>
          </a:schemeClr>
        </a:solidFill>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600">
              <a:solidFill>
                <a:schemeClr val="tx1">
                  <a:lumMod val="85000"/>
                  <a:lumOff val="15000"/>
                </a:schemeClr>
              </a:solidFill>
            </a:rPr>
            <a:t>Policy &amp; Procedure</a:t>
          </a:r>
        </a:p>
      </xdr:txBody>
    </xdr:sp>
    <xdr:clientData/>
  </xdr:twoCellAnchor>
  <xdr:twoCellAnchor>
    <xdr:from>
      <xdr:col>10</xdr:col>
      <xdr:colOff>0</xdr:colOff>
      <xdr:row>46</xdr:row>
      <xdr:rowOff>0</xdr:rowOff>
    </xdr:from>
    <xdr:to>
      <xdr:col>12</xdr:col>
      <xdr:colOff>590550</xdr:colOff>
      <xdr:row>48</xdr:row>
      <xdr:rowOff>79800</xdr:rowOff>
    </xdr:to>
    <xdr:sp macro="" textlink="">
      <xdr:nvSpPr>
        <xdr:cNvPr id="11" name="Rectangle: Rounded Corners 10">
          <a:hlinkClick xmlns:r="http://schemas.openxmlformats.org/officeDocument/2006/relationships" r:id="rId4"/>
          <a:extLst>
            <a:ext uri="{FF2B5EF4-FFF2-40B4-BE49-F238E27FC236}">
              <a16:creationId xmlns:a16="http://schemas.microsoft.com/office/drawing/2014/main" id="{00000000-0008-0000-0100-00000B000000}"/>
            </a:ext>
          </a:extLst>
        </xdr:cNvPr>
        <xdr:cNvSpPr/>
      </xdr:nvSpPr>
      <xdr:spPr>
        <a:xfrm>
          <a:off x="6096000" y="8829675"/>
          <a:ext cx="1809750" cy="460800"/>
        </a:xfrm>
        <a:prstGeom prst="roundRect">
          <a:avLst/>
        </a:prstGeom>
        <a:solidFill>
          <a:srgbClr val="002060"/>
        </a:solidFill>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700">
              <a:solidFill>
                <a:schemeClr val="bg1">
                  <a:lumMod val="75000"/>
                </a:schemeClr>
              </a:solidFill>
            </a:rPr>
            <a:t>Data Risk Register</a:t>
          </a:r>
        </a:p>
      </xdr:txBody>
    </xdr:sp>
    <xdr:clientData/>
  </xdr:twoCellAnchor>
  <xdr:twoCellAnchor>
    <xdr:from>
      <xdr:col>6</xdr:col>
      <xdr:colOff>0</xdr:colOff>
      <xdr:row>46</xdr:row>
      <xdr:rowOff>0</xdr:rowOff>
    </xdr:from>
    <xdr:to>
      <xdr:col>8</xdr:col>
      <xdr:colOff>590550</xdr:colOff>
      <xdr:row>48</xdr:row>
      <xdr:rowOff>79800</xdr:rowOff>
    </xdr:to>
    <xdr:sp macro="" textlink="">
      <xdr:nvSpPr>
        <xdr:cNvPr id="12" name="Rectangle: Rounded Corners 11">
          <a:hlinkClick xmlns:r="http://schemas.openxmlformats.org/officeDocument/2006/relationships" r:id="rId5"/>
          <a:extLst>
            <a:ext uri="{FF2B5EF4-FFF2-40B4-BE49-F238E27FC236}">
              <a16:creationId xmlns:a16="http://schemas.microsoft.com/office/drawing/2014/main" id="{00000000-0008-0000-0100-00000C000000}"/>
            </a:ext>
          </a:extLst>
        </xdr:cNvPr>
        <xdr:cNvSpPr/>
      </xdr:nvSpPr>
      <xdr:spPr>
        <a:xfrm>
          <a:off x="3657600" y="8829675"/>
          <a:ext cx="1809750" cy="460800"/>
        </a:xfrm>
        <a:prstGeom prst="roundRect">
          <a:avLst/>
        </a:prstGeom>
        <a:solidFill>
          <a:schemeClr val="accent5">
            <a:lumMod val="50000"/>
          </a:schemeClr>
        </a:solidFill>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600">
              <a:solidFill>
                <a:schemeClr val="bg1">
                  <a:lumMod val="75000"/>
                </a:schemeClr>
              </a:solidFill>
            </a:rPr>
            <a:t>Recommendations</a:t>
          </a:r>
        </a:p>
      </xdr:txBody>
    </xdr:sp>
    <xdr:clientData/>
  </xdr:twoCellAnchor>
  <xdr:twoCellAnchor>
    <xdr:from>
      <xdr:col>2</xdr:col>
      <xdr:colOff>0</xdr:colOff>
      <xdr:row>46</xdr:row>
      <xdr:rowOff>0</xdr:rowOff>
    </xdr:from>
    <xdr:to>
      <xdr:col>4</xdr:col>
      <xdr:colOff>590550</xdr:colOff>
      <xdr:row>48</xdr:row>
      <xdr:rowOff>79800</xdr:rowOff>
    </xdr:to>
    <xdr:sp macro="" textlink="">
      <xdr:nvSpPr>
        <xdr:cNvPr id="13" name="Rectangle: Rounded Corners 12">
          <a:hlinkClick xmlns:r="http://schemas.openxmlformats.org/officeDocument/2006/relationships" r:id="rId6"/>
          <a:extLst>
            <a:ext uri="{FF2B5EF4-FFF2-40B4-BE49-F238E27FC236}">
              <a16:creationId xmlns:a16="http://schemas.microsoft.com/office/drawing/2014/main" id="{00000000-0008-0000-0100-00000D000000}"/>
            </a:ext>
          </a:extLst>
        </xdr:cNvPr>
        <xdr:cNvSpPr/>
      </xdr:nvSpPr>
      <xdr:spPr>
        <a:xfrm>
          <a:off x="1219200" y="8829675"/>
          <a:ext cx="1809750" cy="460800"/>
        </a:xfrm>
        <a:prstGeom prst="roundRect">
          <a:avLst/>
        </a:prstGeom>
        <a:solidFill>
          <a:schemeClr val="accent5">
            <a:lumMod val="75000"/>
          </a:schemeClr>
        </a:solidFill>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300">
              <a:solidFill>
                <a:schemeClr val="bg1">
                  <a:lumMod val="75000"/>
                </a:schemeClr>
              </a:solidFill>
            </a:rPr>
            <a:t>Appropriate Policy Document</a:t>
          </a:r>
        </a:p>
      </xdr:txBody>
    </xdr:sp>
    <xdr:clientData/>
  </xdr:twoCellAnchor>
  <xdr:twoCellAnchor>
    <xdr:from>
      <xdr:col>2</xdr:col>
      <xdr:colOff>0</xdr:colOff>
      <xdr:row>50</xdr:row>
      <xdr:rowOff>0</xdr:rowOff>
    </xdr:from>
    <xdr:to>
      <xdr:col>4</xdr:col>
      <xdr:colOff>590550</xdr:colOff>
      <xdr:row>52</xdr:row>
      <xdr:rowOff>81020</xdr:rowOff>
    </xdr:to>
    <xdr:sp macro="" textlink="">
      <xdr:nvSpPr>
        <xdr:cNvPr id="16" name="Rectangle: Rounded Corners 15">
          <a:hlinkClick xmlns:r="http://schemas.openxmlformats.org/officeDocument/2006/relationships" r:id="rId7"/>
          <a:extLst>
            <a:ext uri="{FF2B5EF4-FFF2-40B4-BE49-F238E27FC236}">
              <a16:creationId xmlns:a16="http://schemas.microsoft.com/office/drawing/2014/main" id="{00000000-0008-0000-0100-000010000000}"/>
            </a:ext>
          </a:extLst>
        </xdr:cNvPr>
        <xdr:cNvSpPr/>
      </xdr:nvSpPr>
      <xdr:spPr>
        <a:xfrm>
          <a:off x="1219200" y="9639300"/>
          <a:ext cx="1809750" cy="462020"/>
        </a:xfrm>
        <a:prstGeom prst="roundRect">
          <a:avLst/>
        </a:prstGeom>
        <a:solidFill>
          <a:schemeClr val="tx1">
            <a:lumMod val="75000"/>
            <a:lumOff val="25000"/>
          </a:schemeClr>
        </a:solidFill>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300">
              <a:solidFill>
                <a:schemeClr val="bg1"/>
              </a:solidFill>
            </a:rPr>
            <a:t>Data</a:t>
          </a:r>
          <a:r>
            <a:rPr lang="en-GB" sz="1300" baseline="0">
              <a:solidFill>
                <a:schemeClr val="bg1"/>
              </a:solidFill>
            </a:rPr>
            <a:t> Retention Schedule</a:t>
          </a:r>
          <a:endParaRPr lang="en-GB" sz="1300">
            <a:solidFill>
              <a:schemeClr val="bg1"/>
            </a:solidFill>
          </a:endParaRPr>
        </a:p>
      </xdr:txBody>
    </xdr:sp>
    <xdr:clientData/>
  </xdr:twoCellAnchor>
  <xdr:twoCellAnchor>
    <xdr:from>
      <xdr:col>6</xdr:col>
      <xdr:colOff>0</xdr:colOff>
      <xdr:row>50</xdr:row>
      <xdr:rowOff>0</xdr:rowOff>
    </xdr:from>
    <xdr:to>
      <xdr:col>8</xdr:col>
      <xdr:colOff>590550</xdr:colOff>
      <xdr:row>52</xdr:row>
      <xdr:rowOff>81020</xdr:rowOff>
    </xdr:to>
    <xdr:sp macro="" textlink="">
      <xdr:nvSpPr>
        <xdr:cNvPr id="17" name="Rectangle: Rounded Corners 16">
          <a:hlinkClick xmlns:r="http://schemas.openxmlformats.org/officeDocument/2006/relationships" r:id="rId8"/>
          <a:extLst>
            <a:ext uri="{FF2B5EF4-FFF2-40B4-BE49-F238E27FC236}">
              <a16:creationId xmlns:a16="http://schemas.microsoft.com/office/drawing/2014/main" id="{00000000-0008-0000-0100-000011000000}"/>
            </a:ext>
          </a:extLst>
        </xdr:cNvPr>
        <xdr:cNvSpPr/>
      </xdr:nvSpPr>
      <xdr:spPr>
        <a:xfrm>
          <a:off x="3657600" y="9639300"/>
          <a:ext cx="1809750" cy="462020"/>
        </a:xfrm>
        <a:prstGeom prst="roundRect">
          <a:avLst/>
        </a:prstGeom>
        <a:solidFill>
          <a:schemeClr val="tx1">
            <a:lumMod val="75000"/>
            <a:lumOff val="25000"/>
          </a:schemeClr>
        </a:solidFill>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300">
              <a:solidFill>
                <a:schemeClr val="bg1"/>
              </a:solidFill>
            </a:rPr>
            <a:t>Data</a:t>
          </a:r>
          <a:r>
            <a:rPr lang="en-GB" sz="1300" baseline="0">
              <a:solidFill>
                <a:schemeClr val="bg1"/>
              </a:solidFill>
            </a:rPr>
            <a:t> Processing Impact Assessment Template</a:t>
          </a:r>
          <a:endParaRPr lang="en-GB" sz="1300">
            <a:solidFill>
              <a:schemeClr val="bg1"/>
            </a:solidFill>
          </a:endParaRPr>
        </a:p>
      </xdr:txBody>
    </xdr:sp>
    <xdr:clientData/>
  </xdr:twoCellAnchor>
  <xdr:twoCellAnchor>
    <xdr:from>
      <xdr:col>10</xdr:col>
      <xdr:colOff>0</xdr:colOff>
      <xdr:row>50</xdr:row>
      <xdr:rowOff>0</xdr:rowOff>
    </xdr:from>
    <xdr:to>
      <xdr:col>12</xdr:col>
      <xdr:colOff>590550</xdr:colOff>
      <xdr:row>52</xdr:row>
      <xdr:rowOff>81020</xdr:rowOff>
    </xdr:to>
    <xdr:sp macro="" textlink="">
      <xdr:nvSpPr>
        <xdr:cNvPr id="18" name="Rectangle: Rounded Corners 17">
          <a:hlinkClick xmlns:r="http://schemas.openxmlformats.org/officeDocument/2006/relationships" r:id="rId9"/>
          <a:extLst>
            <a:ext uri="{FF2B5EF4-FFF2-40B4-BE49-F238E27FC236}">
              <a16:creationId xmlns:a16="http://schemas.microsoft.com/office/drawing/2014/main" id="{00000000-0008-0000-0100-000012000000}"/>
            </a:ext>
          </a:extLst>
        </xdr:cNvPr>
        <xdr:cNvSpPr/>
      </xdr:nvSpPr>
      <xdr:spPr>
        <a:xfrm>
          <a:off x="6096000" y="9686925"/>
          <a:ext cx="1809750" cy="462020"/>
        </a:xfrm>
        <a:prstGeom prst="roundRect">
          <a:avLst/>
        </a:prstGeom>
        <a:solidFill>
          <a:schemeClr val="tx1">
            <a:lumMod val="75000"/>
            <a:lumOff val="25000"/>
          </a:schemeClr>
        </a:solidFill>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300">
              <a:solidFill>
                <a:schemeClr val="bg1"/>
              </a:solidFill>
            </a:rPr>
            <a:t>The Everything Else</a:t>
          </a:r>
          <a:r>
            <a:rPr lang="en-GB" sz="1300" baseline="0">
              <a:solidFill>
                <a:schemeClr val="bg1"/>
              </a:solidFill>
            </a:rPr>
            <a:t> Page</a:t>
          </a:r>
          <a:endParaRPr lang="en-GB" sz="130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77751</xdr:colOff>
      <xdr:row>0</xdr:row>
      <xdr:rowOff>154998</xdr:rowOff>
    </xdr:from>
    <xdr:to>
      <xdr:col>1</xdr:col>
      <xdr:colOff>444527</xdr:colOff>
      <xdr:row>2</xdr:row>
      <xdr:rowOff>133998</xdr:rowOff>
    </xdr:to>
    <xdr:grpSp>
      <xdr:nvGrpSpPr>
        <xdr:cNvPr id="2" name="Group 1">
          <a:hlinkClick xmlns:r="http://schemas.openxmlformats.org/officeDocument/2006/relationships" r:id="rId1"/>
          <a:extLst>
            <a:ext uri="{FF2B5EF4-FFF2-40B4-BE49-F238E27FC236}">
              <a16:creationId xmlns:a16="http://schemas.microsoft.com/office/drawing/2014/main" id="{00000000-0008-0000-0200-000002000000}"/>
            </a:ext>
          </a:extLst>
        </xdr:cNvPr>
        <xdr:cNvGrpSpPr/>
      </xdr:nvGrpSpPr>
      <xdr:grpSpPr>
        <a:xfrm>
          <a:off x="525426" y="154998"/>
          <a:ext cx="366776" cy="360000"/>
          <a:chOff x="10306050" y="3219450"/>
          <a:chExt cx="447675" cy="447675"/>
        </a:xfrm>
      </xdr:grpSpPr>
      <xdr:sp macro="" textlink="">
        <xdr:nvSpPr>
          <xdr:cNvPr id="3" name="Oval 2">
            <a:extLst>
              <a:ext uri="{FF2B5EF4-FFF2-40B4-BE49-F238E27FC236}">
                <a16:creationId xmlns:a16="http://schemas.microsoft.com/office/drawing/2014/main" id="{00000000-0008-0000-0200-000003000000}"/>
              </a:ext>
            </a:extLst>
          </xdr:cNvPr>
          <xdr:cNvSpPr/>
        </xdr:nvSpPr>
        <xdr:spPr>
          <a:xfrm>
            <a:off x="10306050" y="3219450"/>
            <a:ext cx="447675" cy="447675"/>
          </a:xfrm>
          <a:prstGeom prst="ellipse">
            <a:avLst/>
          </a:prstGeom>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4" name="Graphic 3" descr="Home outline">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382250" y="3267075"/>
            <a:ext cx="311924" cy="311924"/>
          </a:xfrm>
          <a:prstGeom prst="rect">
            <a:avLst/>
          </a:prstGeom>
        </xdr:spPr>
      </xdr:pic>
    </xdr:grpSp>
    <xdr:clientData/>
  </xdr:twoCellAnchor>
  <xdr:twoCellAnchor>
    <xdr:from>
      <xdr:col>2</xdr:col>
      <xdr:colOff>5877</xdr:colOff>
      <xdr:row>0</xdr:row>
      <xdr:rowOff>90919</xdr:rowOff>
    </xdr:from>
    <xdr:to>
      <xdr:col>7</xdr:col>
      <xdr:colOff>557877</xdr:colOff>
      <xdr:row>3</xdr:row>
      <xdr:rowOff>59419</xdr:rowOff>
    </xdr:to>
    <xdr:sp macro="" textlink="">
      <xdr:nvSpPr>
        <xdr:cNvPr id="7" name="Rectangle: Rounded Corners 6">
          <a:extLst>
            <a:ext uri="{FF2B5EF4-FFF2-40B4-BE49-F238E27FC236}">
              <a16:creationId xmlns:a16="http://schemas.microsoft.com/office/drawing/2014/main" id="{00000000-0008-0000-0200-000007000000}"/>
            </a:ext>
          </a:extLst>
        </xdr:cNvPr>
        <xdr:cNvSpPr/>
      </xdr:nvSpPr>
      <xdr:spPr>
        <a:xfrm>
          <a:off x="1063152" y="90919"/>
          <a:ext cx="3600000" cy="540000"/>
        </a:xfrm>
        <a:prstGeom prst="roundRect">
          <a:avLst/>
        </a:prstGeom>
        <a:solidFill>
          <a:schemeClr val="accent5">
            <a:lumMod val="20000"/>
            <a:lumOff val="80000"/>
          </a:schemeClr>
        </a:solidFill>
        <a:effectLst>
          <a:outerShdw blurRad="50800" dist="38100" dir="2700000" algn="tl" rotWithShape="0">
            <a:schemeClr val="accent5">
              <a:lumMod val="20000"/>
              <a:lumOff val="80000"/>
              <a:alpha val="40000"/>
            </a:scheme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3600">
              <a:solidFill>
                <a:schemeClr val="tx1">
                  <a:lumMod val="75000"/>
                  <a:lumOff val="25000"/>
                </a:schemeClr>
              </a:solidFill>
            </a:rPr>
            <a:t>Data Collection</a:t>
          </a: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22</xdr:row>
          <xdr:rowOff>9525</xdr:rowOff>
        </xdr:from>
        <xdr:to>
          <xdr:col>7</xdr:col>
          <xdr:colOff>209550</xdr:colOff>
          <xdr:row>23</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9525</xdr:rowOff>
        </xdr:from>
        <xdr:to>
          <xdr:col>7</xdr:col>
          <xdr:colOff>209550</xdr:colOff>
          <xdr:row>24</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0</xdr:rowOff>
        </xdr:from>
        <xdr:to>
          <xdr:col>7</xdr:col>
          <xdr:colOff>209550</xdr:colOff>
          <xdr:row>24</xdr:row>
          <xdr:rowOff>180975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9525</xdr:rowOff>
        </xdr:from>
        <xdr:to>
          <xdr:col>7</xdr:col>
          <xdr:colOff>209550</xdr:colOff>
          <xdr:row>28</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9525</xdr:rowOff>
        </xdr:from>
        <xdr:to>
          <xdr:col>7</xdr:col>
          <xdr:colOff>209550</xdr:colOff>
          <xdr:row>29</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0</xdr:rowOff>
        </xdr:from>
        <xdr:to>
          <xdr:col>7</xdr:col>
          <xdr:colOff>209550</xdr:colOff>
          <xdr:row>30</xdr:row>
          <xdr:rowOff>180975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190500</xdr:rowOff>
        </xdr:from>
        <xdr:to>
          <xdr:col>7</xdr:col>
          <xdr:colOff>209550</xdr:colOff>
          <xdr:row>31</xdr:row>
          <xdr:rowOff>171450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190500</xdr:rowOff>
        </xdr:from>
        <xdr:to>
          <xdr:col>7</xdr:col>
          <xdr:colOff>209550</xdr:colOff>
          <xdr:row>32</xdr:row>
          <xdr:rowOff>171450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9525</xdr:rowOff>
        </xdr:from>
        <xdr:to>
          <xdr:col>7</xdr:col>
          <xdr:colOff>209550</xdr:colOff>
          <xdr:row>30</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7</xdr:col>
          <xdr:colOff>209550</xdr:colOff>
          <xdr:row>33</xdr:row>
          <xdr:rowOff>180975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7</xdr:col>
          <xdr:colOff>209550</xdr:colOff>
          <xdr:row>34</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0</xdr:rowOff>
        </xdr:from>
        <xdr:to>
          <xdr:col>7</xdr:col>
          <xdr:colOff>209550</xdr:colOff>
          <xdr:row>41</xdr:row>
          <xdr:rowOff>180975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42</xdr:row>
          <xdr:rowOff>0</xdr:rowOff>
        </xdr:from>
        <xdr:to>
          <xdr:col>7</xdr:col>
          <xdr:colOff>209550</xdr:colOff>
          <xdr:row>43</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42</xdr:row>
          <xdr:rowOff>0</xdr:rowOff>
        </xdr:from>
        <xdr:to>
          <xdr:col>7</xdr:col>
          <xdr:colOff>209550</xdr:colOff>
          <xdr:row>43</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0</xdr:rowOff>
        </xdr:from>
        <xdr:to>
          <xdr:col>7</xdr:col>
          <xdr:colOff>209550</xdr:colOff>
          <xdr:row>43</xdr:row>
          <xdr:rowOff>180975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44</xdr:row>
          <xdr:rowOff>0</xdr:rowOff>
        </xdr:from>
        <xdr:to>
          <xdr:col>7</xdr:col>
          <xdr:colOff>209550</xdr:colOff>
          <xdr:row>44</xdr:row>
          <xdr:rowOff>180975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45</xdr:row>
          <xdr:rowOff>0</xdr:rowOff>
        </xdr:from>
        <xdr:to>
          <xdr:col>7</xdr:col>
          <xdr:colOff>209550</xdr:colOff>
          <xdr:row>45</xdr:row>
          <xdr:rowOff>180975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7</xdr:col>
          <xdr:colOff>209550</xdr:colOff>
          <xdr:row>46</xdr:row>
          <xdr:rowOff>180975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0</xdr:rowOff>
        </xdr:from>
        <xdr:to>
          <xdr:col>7</xdr:col>
          <xdr:colOff>209550</xdr:colOff>
          <xdr:row>47</xdr:row>
          <xdr:rowOff>180975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54</xdr:row>
          <xdr:rowOff>0</xdr:rowOff>
        </xdr:from>
        <xdr:to>
          <xdr:col>7</xdr:col>
          <xdr:colOff>209550</xdr:colOff>
          <xdr:row>54</xdr:row>
          <xdr:rowOff>180975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56</xdr:row>
          <xdr:rowOff>0</xdr:rowOff>
        </xdr:from>
        <xdr:to>
          <xdr:col>7</xdr:col>
          <xdr:colOff>209550</xdr:colOff>
          <xdr:row>56</xdr:row>
          <xdr:rowOff>180975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55</xdr:row>
          <xdr:rowOff>9525</xdr:rowOff>
        </xdr:from>
        <xdr:to>
          <xdr:col>7</xdr:col>
          <xdr:colOff>209550</xdr:colOff>
          <xdr:row>56</xdr:row>
          <xdr:rowOff>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57</xdr:row>
          <xdr:rowOff>0</xdr:rowOff>
        </xdr:from>
        <xdr:to>
          <xdr:col>7</xdr:col>
          <xdr:colOff>209550</xdr:colOff>
          <xdr:row>57</xdr:row>
          <xdr:rowOff>180975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58</xdr:row>
          <xdr:rowOff>0</xdr:rowOff>
        </xdr:from>
        <xdr:to>
          <xdr:col>7</xdr:col>
          <xdr:colOff>209550</xdr:colOff>
          <xdr:row>58</xdr:row>
          <xdr:rowOff>180975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59</xdr:row>
          <xdr:rowOff>0</xdr:rowOff>
        </xdr:from>
        <xdr:to>
          <xdr:col>7</xdr:col>
          <xdr:colOff>209550</xdr:colOff>
          <xdr:row>59</xdr:row>
          <xdr:rowOff>180975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66</xdr:row>
          <xdr:rowOff>0</xdr:rowOff>
        </xdr:from>
        <xdr:to>
          <xdr:col>7</xdr:col>
          <xdr:colOff>209550</xdr:colOff>
          <xdr:row>66</xdr:row>
          <xdr:rowOff>180975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67</xdr:row>
          <xdr:rowOff>0</xdr:rowOff>
        </xdr:from>
        <xdr:to>
          <xdr:col>7</xdr:col>
          <xdr:colOff>209550</xdr:colOff>
          <xdr:row>68</xdr:row>
          <xdr:rowOff>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70</xdr:row>
          <xdr:rowOff>0</xdr:rowOff>
        </xdr:from>
        <xdr:to>
          <xdr:col>7</xdr:col>
          <xdr:colOff>209550</xdr:colOff>
          <xdr:row>70</xdr:row>
          <xdr:rowOff>180975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79</xdr:row>
          <xdr:rowOff>0</xdr:rowOff>
        </xdr:from>
        <xdr:to>
          <xdr:col>7</xdr:col>
          <xdr:colOff>209550</xdr:colOff>
          <xdr:row>79</xdr:row>
          <xdr:rowOff>180975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2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81</xdr:row>
          <xdr:rowOff>0</xdr:rowOff>
        </xdr:from>
        <xdr:to>
          <xdr:col>7</xdr:col>
          <xdr:colOff>209550</xdr:colOff>
          <xdr:row>81</xdr:row>
          <xdr:rowOff>180975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80</xdr:row>
          <xdr:rowOff>9525</xdr:rowOff>
        </xdr:from>
        <xdr:to>
          <xdr:col>7</xdr:col>
          <xdr:colOff>209550</xdr:colOff>
          <xdr:row>81</xdr:row>
          <xdr:rowOff>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82</xdr:row>
          <xdr:rowOff>0</xdr:rowOff>
        </xdr:from>
        <xdr:to>
          <xdr:col>7</xdr:col>
          <xdr:colOff>209550</xdr:colOff>
          <xdr:row>82</xdr:row>
          <xdr:rowOff>180975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91</xdr:row>
          <xdr:rowOff>0</xdr:rowOff>
        </xdr:from>
        <xdr:to>
          <xdr:col>7</xdr:col>
          <xdr:colOff>209550</xdr:colOff>
          <xdr:row>91</xdr:row>
          <xdr:rowOff>180975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93</xdr:row>
          <xdr:rowOff>0</xdr:rowOff>
        </xdr:from>
        <xdr:to>
          <xdr:col>7</xdr:col>
          <xdr:colOff>209550</xdr:colOff>
          <xdr:row>93</xdr:row>
          <xdr:rowOff>180975</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92</xdr:row>
          <xdr:rowOff>9525</xdr:rowOff>
        </xdr:from>
        <xdr:to>
          <xdr:col>7</xdr:col>
          <xdr:colOff>209550</xdr:colOff>
          <xdr:row>93</xdr:row>
          <xdr:rowOff>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0</xdr:rowOff>
        </xdr:from>
        <xdr:to>
          <xdr:col>7</xdr:col>
          <xdr:colOff>209550</xdr:colOff>
          <xdr:row>14</xdr:row>
          <xdr:rowOff>180975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2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112642</xdr:colOff>
      <xdr:row>97</xdr:row>
      <xdr:rowOff>114712</xdr:rowOff>
    </xdr:from>
    <xdr:to>
      <xdr:col>13</xdr:col>
      <xdr:colOff>513442</xdr:colOff>
      <xdr:row>99</xdr:row>
      <xdr:rowOff>93712</xdr:rowOff>
    </xdr:to>
    <xdr:sp macro="" textlink="">
      <xdr:nvSpPr>
        <xdr:cNvPr id="5" name="Rectangle: Rounded Corners 4">
          <a:hlinkClick xmlns:r="http://schemas.openxmlformats.org/officeDocument/2006/relationships" r:id="rId4"/>
          <a:extLst>
            <a:ext uri="{FF2B5EF4-FFF2-40B4-BE49-F238E27FC236}">
              <a16:creationId xmlns:a16="http://schemas.microsoft.com/office/drawing/2014/main" id="{00000000-0008-0000-0200-000005000000}"/>
            </a:ext>
          </a:extLst>
        </xdr:cNvPr>
        <xdr:cNvSpPr/>
      </xdr:nvSpPr>
      <xdr:spPr>
        <a:xfrm>
          <a:off x="5799067" y="19450462"/>
          <a:ext cx="1620000" cy="360000"/>
        </a:xfrm>
        <a:prstGeom prst="roundRect">
          <a:avLst/>
        </a:prstGeom>
        <a:solidFill>
          <a:schemeClr val="accent5">
            <a:lumMod val="40000"/>
            <a:lumOff val="60000"/>
          </a:schemeClr>
        </a:solidFill>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800">
              <a:solidFill>
                <a:schemeClr val="tx1">
                  <a:lumMod val="75000"/>
                  <a:lumOff val="25000"/>
                </a:schemeClr>
              </a:solidFill>
            </a:rPr>
            <a:t>Workflows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0</xdr:row>
      <xdr:rowOff>161925</xdr:rowOff>
    </xdr:from>
    <xdr:to>
      <xdr:col>1</xdr:col>
      <xdr:colOff>436200</xdr:colOff>
      <xdr:row>2</xdr:row>
      <xdr:rowOff>140925</xdr:rowOff>
    </xdr:to>
    <xdr:grpSp>
      <xdr:nvGrpSpPr>
        <xdr:cNvPr id="2" name="Group 1">
          <a:hlinkClick xmlns:r="http://schemas.openxmlformats.org/officeDocument/2006/relationships" r:id="rId1"/>
          <a:extLst>
            <a:ext uri="{FF2B5EF4-FFF2-40B4-BE49-F238E27FC236}">
              <a16:creationId xmlns:a16="http://schemas.microsoft.com/office/drawing/2014/main" id="{00000000-0008-0000-0300-000002000000}"/>
            </a:ext>
          </a:extLst>
        </xdr:cNvPr>
        <xdr:cNvGrpSpPr/>
      </xdr:nvGrpSpPr>
      <xdr:grpSpPr>
        <a:xfrm>
          <a:off x="685800" y="161925"/>
          <a:ext cx="360000" cy="360000"/>
          <a:chOff x="10306050" y="3219450"/>
          <a:chExt cx="447675" cy="447675"/>
        </a:xfrm>
      </xdr:grpSpPr>
      <xdr:sp macro="" textlink="">
        <xdr:nvSpPr>
          <xdr:cNvPr id="3" name="Oval 2">
            <a:extLst>
              <a:ext uri="{FF2B5EF4-FFF2-40B4-BE49-F238E27FC236}">
                <a16:creationId xmlns:a16="http://schemas.microsoft.com/office/drawing/2014/main" id="{00000000-0008-0000-0300-000003000000}"/>
              </a:ext>
            </a:extLst>
          </xdr:cNvPr>
          <xdr:cNvSpPr/>
        </xdr:nvSpPr>
        <xdr:spPr>
          <a:xfrm>
            <a:off x="10306050" y="3219450"/>
            <a:ext cx="447675" cy="447675"/>
          </a:xfrm>
          <a:prstGeom prst="ellipse">
            <a:avLst/>
          </a:prstGeom>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4" name="Graphic 3" descr="Home outlin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382250" y="3267075"/>
            <a:ext cx="311924" cy="311924"/>
          </a:xfrm>
          <a:prstGeom prst="rect">
            <a:avLst/>
          </a:prstGeom>
        </xdr:spPr>
      </xdr:pic>
    </xdr:grpSp>
    <xdr:clientData/>
  </xdr:twoCellAnchor>
  <xdr:twoCellAnchor>
    <xdr:from>
      <xdr:col>2</xdr:col>
      <xdr:colOff>0</xdr:colOff>
      <xdr:row>0</xdr:row>
      <xdr:rowOff>76199</xdr:rowOff>
    </xdr:from>
    <xdr:to>
      <xdr:col>7</xdr:col>
      <xdr:colOff>151950</xdr:colOff>
      <xdr:row>3</xdr:row>
      <xdr:rowOff>44699</xdr:rowOff>
    </xdr:to>
    <xdr:sp macro="" textlink="">
      <xdr:nvSpPr>
        <xdr:cNvPr id="5" name="Rectangle: Rounded Corners 4">
          <a:extLst>
            <a:ext uri="{FF2B5EF4-FFF2-40B4-BE49-F238E27FC236}">
              <a16:creationId xmlns:a16="http://schemas.microsoft.com/office/drawing/2014/main" id="{00000000-0008-0000-0300-000005000000}"/>
            </a:ext>
          </a:extLst>
        </xdr:cNvPr>
        <xdr:cNvSpPr/>
      </xdr:nvSpPr>
      <xdr:spPr>
        <a:xfrm>
          <a:off x="1219200" y="76199"/>
          <a:ext cx="3199950" cy="540000"/>
        </a:xfrm>
        <a:prstGeom prst="roundRect">
          <a:avLst/>
        </a:prstGeom>
        <a:solidFill>
          <a:schemeClr val="accent5">
            <a:lumMod val="40000"/>
            <a:lumOff val="60000"/>
          </a:schemeClr>
        </a:solidFill>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3600">
              <a:solidFill>
                <a:schemeClr val="tx1">
                  <a:lumMod val="75000"/>
                  <a:lumOff val="25000"/>
                </a:schemeClr>
              </a:solidFill>
            </a:rPr>
            <a:t>Workflows</a:t>
          </a:r>
        </a:p>
      </xdr:txBody>
    </xdr:sp>
    <xdr:clientData/>
  </xdr:twoCellAnchor>
  <xdr:twoCellAnchor>
    <xdr:from>
      <xdr:col>11</xdr:col>
      <xdr:colOff>676275</xdr:colOff>
      <xdr:row>79</xdr:row>
      <xdr:rowOff>28574</xdr:rowOff>
    </xdr:from>
    <xdr:to>
      <xdr:col>13</xdr:col>
      <xdr:colOff>581775</xdr:colOff>
      <xdr:row>81</xdr:row>
      <xdr:rowOff>74249</xdr:rowOff>
    </xdr:to>
    <xdr:sp macro="" textlink="">
      <xdr:nvSpPr>
        <xdr:cNvPr id="8" name="Rectangle: Rounded Corners 7">
          <a:hlinkClick xmlns:r="http://schemas.openxmlformats.org/officeDocument/2006/relationships" r:id="rId4"/>
          <a:extLst>
            <a:ext uri="{FF2B5EF4-FFF2-40B4-BE49-F238E27FC236}">
              <a16:creationId xmlns:a16="http://schemas.microsoft.com/office/drawing/2014/main" id="{00000000-0008-0000-0300-000008000000}"/>
            </a:ext>
          </a:extLst>
        </xdr:cNvPr>
        <xdr:cNvSpPr/>
      </xdr:nvSpPr>
      <xdr:spPr>
        <a:xfrm>
          <a:off x="7058025" y="15840074"/>
          <a:ext cx="1334250" cy="426675"/>
        </a:xfrm>
        <a:prstGeom prst="roundRect">
          <a:avLst/>
        </a:prstGeom>
        <a:solidFill>
          <a:schemeClr val="accent5">
            <a:lumMod val="60000"/>
            <a:lumOff val="40000"/>
          </a:schemeClr>
        </a:solidFill>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800">
              <a:solidFill>
                <a:schemeClr val="tx1">
                  <a:lumMod val="85000"/>
                  <a:lumOff val="15000"/>
                </a:schemeClr>
              </a:solidFill>
            </a:rPr>
            <a:t>Policy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0</xdr:row>
      <xdr:rowOff>142875</xdr:rowOff>
    </xdr:from>
    <xdr:to>
      <xdr:col>1</xdr:col>
      <xdr:colOff>445725</xdr:colOff>
      <xdr:row>2</xdr:row>
      <xdr:rowOff>121875</xdr:rowOff>
    </xdr:to>
    <xdr:grpSp>
      <xdr:nvGrpSpPr>
        <xdr:cNvPr id="2" name="Group 1">
          <a:hlinkClick xmlns:r="http://schemas.openxmlformats.org/officeDocument/2006/relationships" r:id="rId1"/>
          <a:extLst>
            <a:ext uri="{FF2B5EF4-FFF2-40B4-BE49-F238E27FC236}">
              <a16:creationId xmlns:a16="http://schemas.microsoft.com/office/drawing/2014/main" id="{00000000-0008-0000-0500-000002000000}"/>
            </a:ext>
          </a:extLst>
        </xdr:cNvPr>
        <xdr:cNvGrpSpPr/>
      </xdr:nvGrpSpPr>
      <xdr:grpSpPr>
        <a:xfrm>
          <a:off x="695325" y="142875"/>
          <a:ext cx="360000" cy="360000"/>
          <a:chOff x="10306050" y="3219450"/>
          <a:chExt cx="447675" cy="447675"/>
        </a:xfrm>
      </xdr:grpSpPr>
      <xdr:sp macro="" textlink="">
        <xdr:nvSpPr>
          <xdr:cNvPr id="3" name="Oval 2">
            <a:extLst>
              <a:ext uri="{FF2B5EF4-FFF2-40B4-BE49-F238E27FC236}">
                <a16:creationId xmlns:a16="http://schemas.microsoft.com/office/drawing/2014/main" id="{00000000-0008-0000-0500-000003000000}"/>
              </a:ext>
            </a:extLst>
          </xdr:cNvPr>
          <xdr:cNvSpPr/>
        </xdr:nvSpPr>
        <xdr:spPr>
          <a:xfrm>
            <a:off x="10306050" y="3219450"/>
            <a:ext cx="447675" cy="447675"/>
          </a:xfrm>
          <a:prstGeom prst="ellipse">
            <a:avLst/>
          </a:prstGeom>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4" name="Graphic 3" descr="Home outline">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382250" y="3267075"/>
            <a:ext cx="311924" cy="311924"/>
          </a:xfrm>
          <a:prstGeom prst="rect">
            <a:avLst/>
          </a:prstGeom>
        </xdr:spPr>
      </xdr:pic>
    </xdr:grpSp>
    <xdr:clientData/>
  </xdr:twoCellAnchor>
  <xdr:twoCellAnchor>
    <xdr:from>
      <xdr:col>2</xdr:col>
      <xdr:colOff>19050</xdr:colOff>
      <xdr:row>0</xdr:row>
      <xdr:rowOff>76199</xdr:rowOff>
    </xdr:from>
    <xdr:to>
      <xdr:col>7</xdr:col>
      <xdr:colOff>571050</xdr:colOff>
      <xdr:row>3</xdr:row>
      <xdr:rowOff>44699</xdr:rowOff>
    </xdr:to>
    <xdr:sp macro="" textlink="">
      <xdr:nvSpPr>
        <xdr:cNvPr id="5" name="Rectangle: Rounded Corners 4">
          <a:extLst>
            <a:ext uri="{FF2B5EF4-FFF2-40B4-BE49-F238E27FC236}">
              <a16:creationId xmlns:a16="http://schemas.microsoft.com/office/drawing/2014/main" id="{00000000-0008-0000-0500-000005000000}"/>
            </a:ext>
          </a:extLst>
        </xdr:cNvPr>
        <xdr:cNvSpPr/>
      </xdr:nvSpPr>
      <xdr:spPr>
        <a:xfrm>
          <a:off x="1238250" y="76199"/>
          <a:ext cx="3600000" cy="540000"/>
        </a:xfrm>
        <a:prstGeom prst="roundRect">
          <a:avLst/>
        </a:prstGeom>
        <a:solidFill>
          <a:schemeClr val="accent5">
            <a:lumMod val="60000"/>
            <a:lumOff val="40000"/>
          </a:schemeClr>
        </a:solidFill>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3200">
              <a:solidFill>
                <a:schemeClr val="tx1">
                  <a:lumMod val="85000"/>
                  <a:lumOff val="15000"/>
                </a:schemeClr>
              </a:solidFill>
            </a:rPr>
            <a:t>Policy &amp; Procedures</a:t>
          </a:r>
        </a:p>
      </xdr:txBody>
    </xdr:sp>
    <xdr:clientData/>
  </xdr:twoCellAnchor>
  <mc:AlternateContent xmlns:mc="http://schemas.openxmlformats.org/markup-compatibility/2006">
    <mc:Choice xmlns:a14="http://schemas.microsoft.com/office/drawing/2010/main" Requires="a14">
      <xdr:twoCellAnchor editAs="oneCell">
        <xdr:from>
          <xdr:col>5</xdr:col>
          <xdr:colOff>171450</xdr:colOff>
          <xdr:row>18</xdr:row>
          <xdr:rowOff>0</xdr:rowOff>
        </xdr:from>
        <xdr:to>
          <xdr:col>5</xdr:col>
          <xdr:colOff>381000</xdr:colOff>
          <xdr:row>18</xdr:row>
          <xdr:rowOff>190500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xdr:row>
          <xdr:rowOff>0</xdr:rowOff>
        </xdr:from>
        <xdr:to>
          <xdr:col>5</xdr:col>
          <xdr:colOff>381000</xdr:colOff>
          <xdr:row>20</xdr:row>
          <xdr:rowOff>190500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22</xdr:row>
          <xdr:rowOff>0</xdr:rowOff>
        </xdr:from>
        <xdr:to>
          <xdr:col>5</xdr:col>
          <xdr:colOff>381000</xdr:colOff>
          <xdr:row>22</xdr:row>
          <xdr:rowOff>190500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24</xdr:row>
          <xdr:rowOff>0</xdr:rowOff>
        </xdr:from>
        <xdr:to>
          <xdr:col>5</xdr:col>
          <xdr:colOff>381000</xdr:colOff>
          <xdr:row>24</xdr:row>
          <xdr:rowOff>190500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26</xdr:row>
          <xdr:rowOff>0</xdr:rowOff>
        </xdr:from>
        <xdr:to>
          <xdr:col>5</xdr:col>
          <xdr:colOff>381000</xdr:colOff>
          <xdr:row>26</xdr:row>
          <xdr:rowOff>190500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30</xdr:row>
          <xdr:rowOff>0</xdr:rowOff>
        </xdr:from>
        <xdr:to>
          <xdr:col>5</xdr:col>
          <xdr:colOff>381000</xdr:colOff>
          <xdr:row>30</xdr:row>
          <xdr:rowOff>190500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32</xdr:row>
          <xdr:rowOff>0</xdr:rowOff>
        </xdr:from>
        <xdr:to>
          <xdr:col>5</xdr:col>
          <xdr:colOff>381000</xdr:colOff>
          <xdr:row>32</xdr:row>
          <xdr:rowOff>190500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32</xdr:row>
          <xdr:rowOff>0</xdr:rowOff>
        </xdr:from>
        <xdr:to>
          <xdr:col>5</xdr:col>
          <xdr:colOff>381000</xdr:colOff>
          <xdr:row>32</xdr:row>
          <xdr:rowOff>190500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5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38</xdr:row>
          <xdr:rowOff>0</xdr:rowOff>
        </xdr:from>
        <xdr:to>
          <xdr:col>5</xdr:col>
          <xdr:colOff>381000</xdr:colOff>
          <xdr:row>38</xdr:row>
          <xdr:rowOff>190500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5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40</xdr:row>
          <xdr:rowOff>0</xdr:rowOff>
        </xdr:from>
        <xdr:to>
          <xdr:col>5</xdr:col>
          <xdr:colOff>381000</xdr:colOff>
          <xdr:row>40</xdr:row>
          <xdr:rowOff>190500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5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42</xdr:row>
          <xdr:rowOff>0</xdr:rowOff>
        </xdr:from>
        <xdr:to>
          <xdr:col>5</xdr:col>
          <xdr:colOff>381000</xdr:colOff>
          <xdr:row>42</xdr:row>
          <xdr:rowOff>190500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5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44</xdr:row>
          <xdr:rowOff>0</xdr:rowOff>
        </xdr:from>
        <xdr:to>
          <xdr:col>5</xdr:col>
          <xdr:colOff>381000</xdr:colOff>
          <xdr:row>44</xdr:row>
          <xdr:rowOff>190500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5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28</xdr:row>
          <xdr:rowOff>0</xdr:rowOff>
        </xdr:from>
        <xdr:to>
          <xdr:col>5</xdr:col>
          <xdr:colOff>381000</xdr:colOff>
          <xdr:row>28</xdr:row>
          <xdr:rowOff>190500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5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241301</xdr:colOff>
      <xdr:row>58</xdr:row>
      <xdr:rowOff>76201</xdr:rowOff>
    </xdr:from>
    <xdr:to>
      <xdr:col>10</xdr:col>
      <xdr:colOff>462101</xdr:colOff>
      <xdr:row>60</xdr:row>
      <xdr:rowOff>156001</xdr:rowOff>
    </xdr:to>
    <xdr:sp macro="" textlink="">
      <xdr:nvSpPr>
        <xdr:cNvPr id="6" name="Rectangle: Rounded Corners 5">
          <a:hlinkClick xmlns:r="http://schemas.openxmlformats.org/officeDocument/2006/relationships" r:id="rId4"/>
          <a:extLst>
            <a:ext uri="{FF2B5EF4-FFF2-40B4-BE49-F238E27FC236}">
              <a16:creationId xmlns:a16="http://schemas.microsoft.com/office/drawing/2014/main" id="{00000000-0008-0000-0500-000006000000}"/>
            </a:ext>
          </a:extLst>
        </xdr:cNvPr>
        <xdr:cNvSpPr>
          <a:spLocks noChangeAspect="1"/>
        </xdr:cNvSpPr>
      </xdr:nvSpPr>
      <xdr:spPr>
        <a:xfrm>
          <a:off x="5118101" y="9906001"/>
          <a:ext cx="1440000" cy="460800"/>
        </a:xfrm>
        <a:prstGeom prst="roundRect">
          <a:avLst/>
        </a:prstGeom>
        <a:solidFill>
          <a:schemeClr val="accent5">
            <a:lumMod val="75000"/>
          </a:schemeClr>
        </a:solidFill>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200">
              <a:solidFill>
                <a:schemeClr val="bg1">
                  <a:lumMod val="75000"/>
                </a:schemeClr>
              </a:solidFill>
            </a:rPr>
            <a:t>Appropriate Policy Document</a:t>
          </a:r>
        </a:p>
      </xdr:txBody>
    </xdr:sp>
    <xdr:clientData/>
  </xdr:twoCellAnchor>
  <xdr:twoCellAnchor>
    <xdr:from>
      <xdr:col>11</xdr:col>
      <xdr:colOff>323849</xdr:colOff>
      <xdr:row>47</xdr:row>
      <xdr:rowOff>76199</xdr:rowOff>
    </xdr:from>
    <xdr:to>
      <xdr:col>13</xdr:col>
      <xdr:colOff>544649</xdr:colOff>
      <xdr:row>49</xdr:row>
      <xdr:rowOff>146474</xdr:rowOff>
    </xdr:to>
    <xdr:sp macro="" textlink="">
      <xdr:nvSpPr>
        <xdr:cNvPr id="7" name="Rectangle: Rounded Corners 6">
          <a:hlinkClick xmlns:r="http://schemas.openxmlformats.org/officeDocument/2006/relationships" r:id="rId5"/>
          <a:extLst>
            <a:ext uri="{FF2B5EF4-FFF2-40B4-BE49-F238E27FC236}">
              <a16:creationId xmlns:a16="http://schemas.microsoft.com/office/drawing/2014/main" id="{00000000-0008-0000-0500-000007000000}"/>
            </a:ext>
          </a:extLst>
        </xdr:cNvPr>
        <xdr:cNvSpPr/>
      </xdr:nvSpPr>
      <xdr:spPr>
        <a:xfrm>
          <a:off x="7029449" y="7734299"/>
          <a:ext cx="1440000" cy="460800"/>
        </a:xfrm>
        <a:prstGeom prst="roundRect">
          <a:avLst/>
        </a:prstGeom>
        <a:solidFill>
          <a:schemeClr val="accent5">
            <a:lumMod val="50000"/>
          </a:schemeClr>
        </a:solidFill>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200">
              <a:solidFill>
                <a:schemeClr val="bg1">
                  <a:lumMod val="75000"/>
                </a:schemeClr>
              </a:solidFill>
            </a:rPr>
            <a:t>Recommendations</a:t>
          </a:r>
        </a:p>
      </xdr:txBody>
    </xdr:sp>
    <xdr:clientData/>
  </xdr:twoCellAnchor>
  <mc:AlternateContent xmlns:mc="http://schemas.openxmlformats.org/markup-compatibility/2006">
    <mc:Choice xmlns:a14="http://schemas.microsoft.com/office/drawing/2010/main" Requires="a14">
      <xdr:twoCellAnchor editAs="oneCell">
        <xdr:from>
          <xdr:col>5</xdr:col>
          <xdr:colOff>171450</xdr:colOff>
          <xdr:row>46</xdr:row>
          <xdr:rowOff>0</xdr:rowOff>
        </xdr:from>
        <xdr:to>
          <xdr:col>5</xdr:col>
          <xdr:colOff>381000</xdr:colOff>
          <xdr:row>46</xdr:row>
          <xdr:rowOff>190500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5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561975</xdr:colOff>
      <xdr:row>58</xdr:row>
      <xdr:rowOff>76200</xdr:rowOff>
    </xdr:from>
    <xdr:to>
      <xdr:col>13</xdr:col>
      <xdr:colOff>551392</xdr:colOff>
      <xdr:row>60</xdr:row>
      <xdr:rowOff>157220</xdr:rowOff>
    </xdr:to>
    <xdr:sp macro="" textlink="">
      <xdr:nvSpPr>
        <xdr:cNvPr id="8" name="Rectangle: Rounded Corners 7">
          <a:hlinkClick xmlns:r="http://schemas.openxmlformats.org/officeDocument/2006/relationships" r:id="rId6"/>
          <a:extLst>
            <a:ext uri="{FF2B5EF4-FFF2-40B4-BE49-F238E27FC236}">
              <a16:creationId xmlns:a16="http://schemas.microsoft.com/office/drawing/2014/main" id="{00000000-0008-0000-0500-000008000000}"/>
            </a:ext>
          </a:extLst>
        </xdr:cNvPr>
        <xdr:cNvSpPr/>
      </xdr:nvSpPr>
      <xdr:spPr>
        <a:xfrm>
          <a:off x="6657975" y="9906000"/>
          <a:ext cx="1818217" cy="462020"/>
        </a:xfrm>
        <a:prstGeom prst="roundRect">
          <a:avLst/>
        </a:prstGeom>
        <a:solidFill>
          <a:schemeClr val="tx1">
            <a:lumMod val="75000"/>
            <a:lumOff val="25000"/>
          </a:schemeClr>
        </a:solidFill>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300">
              <a:solidFill>
                <a:schemeClr val="bg1"/>
              </a:solidFill>
            </a:rPr>
            <a:t>Data</a:t>
          </a:r>
          <a:r>
            <a:rPr lang="en-GB" sz="1300" baseline="0">
              <a:solidFill>
                <a:schemeClr val="bg1"/>
              </a:solidFill>
            </a:rPr>
            <a:t> Processing Impact Assessment Template</a:t>
          </a:r>
          <a:endParaRPr lang="en-GB" sz="1300">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85725</xdr:colOff>
      <xdr:row>0</xdr:row>
      <xdr:rowOff>161925</xdr:rowOff>
    </xdr:from>
    <xdr:to>
      <xdr:col>1</xdr:col>
      <xdr:colOff>445725</xdr:colOff>
      <xdr:row>2</xdr:row>
      <xdr:rowOff>140925</xdr:rowOff>
    </xdr:to>
    <xdr:grpSp>
      <xdr:nvGrpSpPr>
        <xdr:cNvPr id="3" name="Group 2">
          <a:hlinkClick xmlns:r="http://schemas.openxmlformats.org/officeDocument/2006/relationships" r:id="rId1"/>
          <a:extLst>
            <a:ext uri="{FF2B5EF4-FFF2-40B4-BE49-F238E27FC236}">
              <a16:creationId xmlns:a16="http://schemas.microsoft.com/office/drawing/2014/main" id="{00000000-0008-0000-0600-000003000000}"/>
            </a:ext>
          </a:extLst>
        </xdr:cNvPr>
        <xdr:cNvGrpSpPr/>
      </xdr:nvGrpSpPr>
      <xdr:grpSpPr>
        <a:xfrm>
          <a:off x="695325" y="161925"/>
          <a:ext cx="360000" cy="360000"/>
          <a:chOff x="10306050" y="3219450"/>
          <a:chExt cx="447675" cy="447675"/>
        </a:xfrm>
      </xdr:grpSpPr>
      <xdr:sp macro="" textlink="">
        <xdr:nvSpPr>
          <xdr:cNvPr id="4" name="Oval 3">
            <a:extLst>
              <a:ext uri="{FF2B5EF4-FFF2-40B4-BE49-F238E27FC236}">
                <a16:creationId xmlns:a16="http://schemas.microsoft.com/office/drawing/2014/main" id="{00000000-0008-0000-0600-000004000000}"/>
              </a:ext>
            </a:extLst>
          </xdr:cNvPr>
          <xdr:cNvSpPr/>
        </xdr:nvSpPr>
        <xdr:spPr>
          <a:xfrm>
            <a:off x="10306050" y="3219450"/>
            <a:ext cx="447675" cy="447675"/>
          </a:xfrm>
          <a:prstGeom prst="ellipse">
            <a:avLst/>
          </a:prstGeom>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outline">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382250" y="3267075"/>
            <a:ext cx="311924" cy="311924"/>
          </a:xfrm>
          <a:prstGeom prst="rect">
            <a:avLst/>
          </a:prstGeom>
        </xdr:spPr>
      </xdr:pic>
    </xdr:grpSp>
    <xdr:clientData/>
  </xdr:twoCellAnchor>
  <xdr:twoCellAnchor>
    <xdr:from>
      <xdr:col>2</xdr:col>
      <xdr:colOff>19050</xdr:colOff>
      <xdr:row>0</xdr:row>
      <xdr:rowOff>76199</xdr:rowOff>
    </xdr:from>
    <xdr:to>
      <xdr:col>7</xdr:col>
      <xdr:colOff>571050</xdr:colOff>
      <xdr:row>3</xdr:row>
      <xdr:rowOff>44699</xdr:rowOff>
    </xdr:to>
    <xdr:sp macro="" textlink="">
      <xdr:nvSpPr>
        <xdr:cNvPr id="6" name="Rectangle: Rounded Corners 5">
          <a:extLst>
            <a:ext uri="{FF2B5EF4-FFF2-40B4-BE49-F238E27FC236}">
              <a16:creationId xmlns:a16="http://schemas.microsoft.com/office/drawing/2014/main" id="{00000000-0008-0000-0600-000006000000}"/>
            </a:ext>
          </a:extLst>
        </xdr:cNvPr>
        <xdr:cNvSpPr/>
      </xdr:nvSpPr>
      <xdr:spPr>
        <a:xfrm>
          <a:off x="1238250" y="76199"/>
          <a:ext cx="3600000" cy="540000"/>
        </a:xfrm>
        <a:prstGeom prst="roundRect">
          <a:avLst/>
        </a:prstGeom>
        <a:solidFill>
          <a:schemeClr val="accent5">
            <a:lumMod val="75000"/>
          </a:schemeClr>
        </a:solidFill>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2000">
              <a:solidFill>
                <a:schemeClr val="bg1">
                  <a:lumMod val="75000"/>
                </a:schemeClr>
              </a:solidFill>
            </a:rPr>
            <a:t>Appropriate</a:t>
          </a:r>
          <a:r>
            <a:rPr lang="en-GB" sz="2000" baseline="0">
              <a:solidFill>
                <a:schemeClr val="bg1">
                  <a:lumMod val="75000"/>
                </a:schemeClr>
              </a:solidFill>
            </a:rPr>
            <a:t> Policy Document</a:t>
          </a:r>
          <a:endParaRPr lang="en-GB" sz="2000">
            <a:solidFill>
              <a:schemeClr val="bg1">
                <a:lumMod val="7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390525</xdr:colOff>
          <xdr:row>22</xdr:row>
          <xdr:rowOff>0</xdr:rowOff>
        </xdr:from>
        <xdr:to>
          <xdr:col>2</xdr:col>
          <xdr:colOff>0</xdr:colOff>
          <xdr:row>23</xdr:row>
          <xdr:rowOff>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6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21</xdr:row>
          <xdr:rowOff>0</xdr:rowOff>
        </xdr:from>
        <xdr:to>
          <xdr:col>2</xdr:col>
          <xdr:colOff>0</xdr:colOff>
          <xdr:row>22</xdr:row>
          <xdr:rowOff>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6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23</xdr:row>
          <xdr:rowOff>0</xdr:rowOff>
        </xdr:from>
        <xdr:to>
          <xdr:col>2</xdr:col>
          <xdr:colOff>0</xdr:colOff>
          <xdr:row>24</xdr:row>
          <xdr:rowOff>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6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25</xdr:row>
          <xdr:rowOff>0</xdr:rowOff>
        </xdr:from>
        <xdr:to>
          <xdr:col>2</xdr:col>
          <xdr:colOff>0</xdr:colOff>
          <xdr:row>26</xdr:row>
          <xdr:rowOff>9525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6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26</xdr:row>
          <xdr:rowOff>0</xdr:rowOff>
        </xdr:from>
        <xdr:to>
          <xdr:col>2</xdr:col>
          <xdr:colOff>0</xdr:colOff>
          <xdr:row>27</xdr:row>
          <xdr:rowOff>9525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6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19</xdr:row>
          <xdr:rowOff>0</xdr:rowOff>
        </xdr:from>
        <xdr:to>
          <xdr:col>2</xdr:col>
          <xdr:colOff>0</xdr:colOff>
          <xdr:row>20</xdr:row>
          <xdr:rowOff>9525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6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29</xdr:row>
          <xdr:rowOff>0</xdr:rowOff>
        </xdr:from>
        <xdr:to>
          <xdr:col>2</xdr:col>
          <xdr:colOff>0</xdr:colOff>
          <xdr:row>30</xdr:row>
          <xdr:rowOff>9525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6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31</xdr:row>
          <xdr:rowOff>0</xdr:rowOff>
        </xdr:from>
        <xdr:to>
          <xdr:col>2</xdr:col>
          <xdr:colOff>0</xdr:colOff>
          <xdr:row>32</xdr:row>
          <xdr:rowOff>9525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6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76200</xdr:colOff>
      <xdr:row>0</xdr:row>
      <xdr:rowOff>152400</xdr:rowOff>
    </xdr:from>
    <xdr:to>
      <xdr:col>1</xdr:col>
      <xdr:colOff>436200</xdr:colOff>
      <xdr:row>2</xdr:row>
      <xdr:rowOff>131400</xdr:rowOff>
    </xdr:to>
    <xdr:grpSp>
      <xdr:nvGrpSpPr>
        <xdr:cNvPr id="2" name="Group 1">
          <a:hlinkClick xmlns:r="http://schemas.openxmlformats.org/officeDocument/2006/relationships" r:id="rId1"/>
          <a:extLst>
            <a:ext uri="{FF2B5EF4-FFF2-40B4-BE49-F238E27FC236}">
              <a16:creationId xmlns:a16="http://schemas.microsoft.com/office/drawing/2014/main" id="{00000000-0008-0000-0700-000002000000}"/>
            </a:ext>
          </a:extLst>
        </xdr:cNvPr>
        <xdr:cNvGrpSpPr/>
      </xdr:nvGrpSpPr>
      <xdr:grpSpPr>
        <a:xfrm>
          <a:off x="685800" y="152400"/>
          <a:ext cx="360000" cy="360000"/>
          <a:chOff x="10306050" y="3219450"/>
          <a:chExt cx="447675" cy="447675"/>
        </a:xfrm>
      </xdr:grpSpPr>
      <xdr:sp macro="" textlink="">
        <xdr:nvSpPr>
          <xdr:cNvPr id="3" name="Oval 2">
            <a:extLst>
              <a:ext uri="{FF2B5EF4-FFF2-40B4-BE49-F238E27FC236}">
                <a16:creationId xmlns:a16="http://schemas.microsoft.com/office/drawing/2014/main" id="{00000000-0008-0000-0700-000003000000}"/>
              </a:ext>
            </a:extLst>
          </xdr:cNvPr>
          <xdr:cNvSpPr/>
        </xdr:nvSpPr>
        <xdr:spPr>
          <a:xfrm>
            <a:off x="10306050" y="3219450"/>
            <a:ext cx="447675" cy="447675"/>
          </a:xfrm>
          <a:prstGeom prst="ellipse">
            <a:avLst/>
          </a:prstGeom>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4" name="Graphic 3" descr="Home outline">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382250" y="3267075"/>
            <a:ext cx="311924" cy="311924"/>
          </a:xfrm>
          <a:prstGeom prst="rect">
            <a:avLst/>
          </a:prstGeom>
        </xdr:spPr>
      </xdr:pic>
    </xdr:grpSp>
    <xdr:clientData/>
  </xdr:twoCellAnchor>
  <xdr:twoCellAnchor>
    <xdr:from>
      <xdr:col>2</xdr:col>
      <xdr:colOff>9525</xdr:colOff>
      <xdr:row>0</xdr:row>
      <xdr:rowOff>57149</xdr:rowOff>
    </xdr:from>
    <xdr:to>
      <xdr:col>7</xdr:col>
      <xdr:colOff>561525</xdr:colOff>
      <xdr:row>3</xdr:row>
      <xdr:rowOff>25649</xdr:rowOff>
    </xdr:to>
    <xdr:sp macro="" textlink="">
      <xdr:nvSpPr>
        <xdr:cNvPr id="6" name="Rectangle: Rounded Corners 5">
          <a:extLst>
            <a:ext uri="{FF2B5EF4-FFF2-40B4-BE49-F238E27FC236}">
              <a16:creationId xmlns:a16="http://schemas.microsoft.com/office/drawing/2014/main" id="{00000000-0008-0000-0700-000006000000}"/>
            </a:ext>
          </a:extLst>
        </xdr:cNvPr>
        <xdr:cNvSpPr/>
      </xdr:nvSpPr>
      <xdr:spPr>
        <a:xfrm>
          <a:off x="1228725" y="57149"/>
          <a:ext cx="3600000" cy="540000"/>
        </a:xfrm>
        <a:prstGeom prst="roundRect">
          <a:avLst/>
        </a:prstGeom>
        <a:solidFill>
          <a:schemeClr val="accent5">
            <a:lumMod val="50000"/>
          </a:schemeClr>
        </a:solidFill>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3200">
              <a:solidFill>
                <a:schemeClr val="bg1">
                  <a:lumMod val="75000"/>
                </a:schemeClr>
              </a:solidFill>
            </a:rPr>
            <a:t>Recommendations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85725</xdr:colOff>
      <xdr:row>0</xdr:row>
      <xdr:rowOff>152400</xdr:rowOff>
    </xdr:from>
    <xdr:to>
      <xdr:col>1</xdr:col>
      <xdr:colOff>445725</xdr:colOff>
      <xdr:row>2</xdr:row>
      <xdr:rowOff>131400</xdr:rowOff>
    </xdr:to>
    <xdr:grpSp>
      <xdr:nvGrpSpPr>
        <xdr:cNvPr id="2" name="Group 1">
          <a:hlinkClick xmlns:r="http://schemas.openxmlformats.org/officeDocument/2006/relationships" r:id="rId1"/>
          <a:extLst>
            <a:ext uri="{FF2B5EF4-FFF2-40B4-BE49-F238E27FC236}">
              <a16:creationId xmlns:a16="http://schemas.microsoft.com/office/drawing/2014/main" id="{00000000-0008-0000-0800-000002000000}"/>
            </a:ext>
          </a:extLst>
        </xdr:cNvPr>
        <xdr:cNvGrpSpPr/>
      </xdr:nvGrpSpPr>
      <xdr:grpSpPr>
        <a:xfrm>
          <a:off x="381000" y="152400"/>
          <a:ext cx="360000" cy="360000"/>
          <a:chOff x="10306050" y="3219450"/>
          <a:chExt cx="447675" cy="447675"/>
        </a:xfrm>
      </xdr:grpSpPr>
      <xdr:sp macro="" textlink="">
        <xdr:nvSpPr>
          <xdr:cNvPr id="3" name="Oval 2">
            <a:extLst>
              <a:ext uri="{FF2B5EF4-FFF2-40B4-BE49-F238E27FC236}">
                <a16:creationId xmlns:a16="http://schemas.microsoft.com/office/drawing/2014/main" id="{00000000-0008-0000-0800-000003000000}"/>
              </a:ext>
            </a:extLst>
          </xdr:cNvPr>
          <xdr:cNvSpPr/>
        </xdr:nvSpPr>
        <xdr:spPr>
          <a:xfrm>
            <a:off x="10306050" y="3219450"/>
            <a:ext cx="447675" cy="447675"/>
          </a:xfrm>
          <a:prstGeom prst="ellipse">
            <a:avLst/>
          </a:prstGeom>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4" name="Graphic 3" descr="Home outline">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382250" y="3267075"/>
            <a:ext cx="311924" cy="311924"/>
          </a:xfrm>
          <a:prstGeom prst="rect">
            <a:avLst/>
          </a:prstGeom>
        </xdr:spPr>
      </xdr:pic>
    </xdr:grpSp>
    <xdr:clientData/>
  </xdr:twoCellAnchor>
  <xdr:twoCellAnchor>
    <xdr:from>
      <xdr:col>2</xdr:col>
      <xdr:colOff>19050</xdr:colOff>
      <xdr:row>0</xdr:row>
      <xdr:rowOff>85724</xdr:rowOff>
    </xdr:from>
    <xdr:to>
      <xdr:col>4</xdr:col>
      <xdr:colOff>837750</xdr:colOff>
      <xdr:row>3</xdr:row>
      <xdr:rowOff>54224</xdr:rowOff>
    </xdr:to>
    <xdr:sp macro="" textlink="">
      <xdr:nvSpPr>
        <xdr:cNvPr id="5" name="Rectangle: Rounded Corners 4">
          <a:extLst>
            <a:ext uri="{FF2B5EF4-FFF2-40B4-BE49-F238E27FC236}">
              <a16:creationId xmlns:a16="http://schemas.microsoft.com/office/drawing/2014/main" id="{00000000-0008-0000-0800-000005000000}"/>
            </a:ext>
          </a:extLst>
        </xdr:cNvPr>
        <xdr:cNvSpPr/>
      </xdr:nvSpPr>
      <xdr:spPr>
        <a:xfrm>
          <a:off x="1238250" y="85724"/>
          <a:ext cx="3600000" cy="540000"/>
        </a:xfrm>
        <a:prstGeom prst="roundRect">
          <a:avLst/>
        </a:prstGeom>
        <a:solidFill>
          <a:srgbClr val="002060"/>
        </a:solidFill>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3600">
              <a:solidFill>
                <a:schemeClr val="bg1">
                  <a:lumMod val="75000"/>
                </a:schemeClr>
              </a:solidFill>
            </a:rPr>
            <a:t>Data Risk Register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19050</xdr:colOff>
      <xdr:row>0</xdr:row>
      <xdr:rowOff>66675</xdr:rowOff>
    </xdr:from>
    <xdr:to>
      <xdr:col>7</xdr:col>
      <xdr:colOff>571050</xdr:colOff>
      <xdr:row>3</xdr:row>
      <xdr:rowOff>35175</xdr:rowOff>
    </xdr:to>
    <xdr:sp macro="" textlink="">
      <xdr:nvSpPr>
        <xdr:cNvPr id="2" name="Rectangle: Rounded Corners 1">
          <a:extLst>
            <a:ext uri="{FF2B5EF4-FFF2-40B4-BE49-F238E27FC236}">
              <a16:creationId xmlns:a16="http://schemas.microsoft.com/office/drawing/2014/main" id="{00000000-0008-0000-0900-000002000000}"/>
            </a:ext>
          </a:extLst>
        </xdr:cNvPr>
        <xdr:cNvSpPr/>
      </xdr:nvSpPr>
      <xdr:spPr>
        <a:xfrm>
          <a:off x="1238250" y="66675"/>
          <a:ext cx="3600000" cy="540000"/>
        </a:xfrm>
        <a:prstGeom prst="roundRect">
          <a:avLst/>
        </a:prstGeom>
        <a:solidFill>
          <a:schemeClr val="tx1">
            <a:lumMod val="85000"/>
            <a:lumOff val="1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2800">
              <a:solidFill>
                <a:schemeClr val="bg1">
                  <a:lumMod val="95000"/>
                </a:schemeClr>
              </a:solidFill>
            </a:rPr>
            <a:t>Retention Schedule</a:t>
          </a:r>
        </a:p>
      </xdr:txBody>
    </xdr:sp>
    <xdr:clientData/>
  </xdr:twoCellAnchor>
  <xdr:twoCellAnchor>
    <xdr:from>
      <xdr:col>1</xdr:col>
      <xdr:colOff>57150</xdr:colOff>
      <xdr:row>0</xdr:row>
      <xdr:rowOff>152400</xdr:rowOff>
    </xdr:from>
    <xdr:to>
      <xdr:col>1</xdr:col>
      <xdr:colOff>423926</xdr:colOff>
      <xdr:row>2</xdr:row>
      <xdr:rowOff>131400</xdr:rowOff>
    </xdr:to>
    <xdr:grpSp>
      <xdr:nvGrpSpPr>
        <xdr:cNvPr id="3" name="Group 2">
          <a:hlinkClick xmlns:r="http://schemas.openxmlformats.org/officeDocument/2006/relationships" r:id="rId1"/>
          <a:extLst>
            <a:ext uri="{FF2B5EF4-FFF2-40B4-BE49-F238E27FC236}">
              <a16:creationId xmlns:a16="http://schemas.microsoft.com/office/drawing/2014/main" id="{00000000-0008-0000-0900-000003000000}"/>
            </a:ext>
          </a:extLst>
        </xdr:cNvPr>
        <xdr:cNvGrpSpPr/>
      </xdr:nvGrpSpPr>
      <xdr:grpSpPr>
        <a:xfrm>
          <a:off x="666750" y="152400"/>
          <a:ext cx="366776" cy="360000"/>
          <a:chOff x="10306050" y="3219450"/>
          <a:chExt cx="447675" cy="447675"/>
        </a:xfrm>
      </xdr:grpSpPr>
      <xdr:sp macro="" textlink="">
        <xdr:nvSpPr>
          <xdr:cNvPr id="4" name="Oval 3">
            <a:extLst>
              <a:ext uri="{FF2B5EF4-FFF2-40B4-BE49-F238E27FC236}">
                <a16:creationId xmlns:a16="http://schemas.microsoft.com/office/drawing/2014/main" id="{00000000-0008-0000-0900-000004000000}"/>
              </a:ext>
            </a:extLst>
          </xdr:cNvPr>
          <xdr:cNvSpPr/>
        </xdr:nvSpPr>
        <xdr:spPr>
          <a:xfrm>
            <a:off x="10306050" y="3219450"/>
            <a:ext cx="447675" cy="447675"/>
          </a:xfrm>
          <a:prstGeom prst="ellipse">
            <a:avLst/>
          </a:prstGeom>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 name="Graphic 4" descr="Home outline">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382250" y="3267075"/>
            <a:ext cx="311924" cy="311924"/>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7.bin"/><Relationship Id="rId1" Type="http://schemas.openxmlformats.org/officeDocument/2006/relationships/hyperlink" Target="https://ico.org.uk/for-organisations/guide-to-data-protection/guide-to-the-general-data-protection-regulation-gdpr/principles/storage-limitation/"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openxmlformats.org/officeDocument/2006/relationships/hyperlink" Target="https://ico.org.uk/media/for-organisations/documents/4022639/transfer-risk-assessments-tool-202211.doc" TargetMode="External"/><Relationship Id="rId7" Type="http://schemas.openxmlformats.org/officeDocument/2006/relationships/comments" Target="../comments9.xml"/><Relationship Id="rId2" Type="http://schemas.openxmlformats.org/officeDocument/2006/relationships/hyperlink" Target="https://ico.org.uk/media/for-organisations/documents/2553993/dpia-template.docx" TargetMode="External"/><Relationship Id="rId1" Type="http://schemas.openxmlformats.org/officeDocument/2006/relationships/hyperlink" Target="http://ec.europa.eu/newsroom/document.cfm?doc_id=47711" TargetMode="External"/><Relationship Id="rId6" Type="http://schemas.openxmlformats.org/officeDocument/2006/relationships/vmlDrawing" Target="../drawings/vmlDrawing9.vml"/><Relationship Id="rId5" Type="http://schemas.openxmlformats.org/officeDocument/2006/relationships/drawing" Target="../drawings/drawing10.xml"/><Relationship Id="rId4"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nist.gov/" TargetMode="External"/><Relationship Id="rId7" Type="http://schemas.openxmlformats.org/officeDocument/2006/relationships/drawing" Target="../drawings/drawing11.xml"/><Relationship Id="rId2" Type="http://schemas.openxmlformats.org/officeDocument/2006/relationships/hyperlink" Target="https://ico.org.uk/" TargetMode="External"/><Relationship Id="rId1" Type="http://schemas.openxmlformats.org/officeDocument/2006/relationships/hyperlink" Target="https://www.cipd.co.uk/" TargetMode="External"/><Relationship Id="rId6" Type="http://schemas.openxmlformats.org/officeDocument/2006/relationships/hyperlink" Target="https://www.sans.org/uk_en/" TargetMode="External"/><Relationship Id="rId5" Type="http://schemas.openxmlformats.org/officeDocument/2006/relationships/hyperlink" Target="https://www.legislation.gov.uk/eur/2016/679/contents" TargetMode="External"/><Relationship Id="rId4" Type="http://schemas.openxmlformats.org/officeDocument/2006/relationships/hyperlink" Target="https://www.legislation.gov.uk/ukpga/2018/12/contents/enacted"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ico.org.u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3" Type="http://schemas.openxmlformats.org/officeDocument/2006/relationships/hyperlink" Target="https://ico.org.uk/for-organisations/guide-to-data-protection/guide-to-the-general-data-protection-regulation-gdpr/lawful-basis-for-processing/special-category-data/" TargetMode="External"/><Relationship Id="rId18" Type="http://schemas.openxmlformats.org/officeDocument/2006/relationships/printerSettings" Target="../printerSettings/printerSettings2.bin"/><Relationship Id="rId26" Type="http://schemas.openxmlformats.org/officeDocument/2006/relationships/ctrlProp" Target="../ctrlProps/ctrlProp6.xml"/><Relationship Id="rId39" Type="http://schemas.openxmlformats.org/officeDocument/2006/relationships/ctrlProp" Target="../ctrlProps/ctrlProp19.xml"/><Relationship Id="rId21" Type="http://schemas.openxmlformats.org/officeDocument/2006/relationships/ctrlProp" Target="../ctrlProps/ctrlProp1.xml"/><Relationship Id="rId34" Type="http://schemas.openxmlformats.org/officeDocument/2006/relationships/ctrlProp" Target="../ctrlProps/ctrlProp14.xml"/><Relationship Id="rId42" Type="http://schemas.openxmlformats.org/officeDocument/2006/relationships/ctrlProp" Target="../ctrlProps/ctrlProp22.xml"/><Relationship Id="rId47" Type="http://schemas.openxmlformats.org/officeDocument/2006/relationships/ctrlProp" Target="../ctrlProps/ctrlProp27.xml"/><Relationship Id="rId50" Type="http://schemas.openxmlformats.org/officeDocument/2006/relationships/ctrlProp" Target="../ctrlProps/ctrlProp30.xml"/><Relationship Id="rId55" Type="http://schemas.openxmlformats.org/officeDocument/2006/relationships/ctrlProp" Target="../ctrlProps/ctrlProp35.xml"/><Relationship Id="rId7" Type="http://schemas.openxmlformats.org/officeDocument/2006/relationships/hyperlink" Target="https://ico.org.uk/for-organisations/guide-to-data-protection/guide-to-the-general-data-protection-regulation-gdpr/lawful-basis-for-processing/special-category-data/" TargetMode="External"/><Relationship Id="rId2" Type="http://schemas.openxmlformats.org/officeDocument/2006/relationships/hyperlink" Target="https://ico.org.uk/for-organisations/guide-to-data-protection/guide-to-the-general-data-protection-regulation-gdpr/lawful-basis-for-processing/special-category-data/" TargetMode="External"/><Relationship Id="rId16" Type="http://schemas.openxmlformats.org/officeDocument/2006/relationships/hyperlink" Target="https://www.gov.uk/government/publications/the-essential-trustee-what-you-need-to-know-cc3/the-essential-trustee-what-you-need-to-know-what-you-need-to-do" TargetMode="External"/><Relationship Id="rId29" Type="http://schemas.openxmlformats.org/officeDocument/2006/relationships/ctrlProp" Target="../ctrlProps/ctrlProp9.xml"/><Relationship Id="rId11" Type="http://schemas.openxmlformats.org/officeDocument/2006/relationships/hyperlink" Target="https://www.pcisecuritystandards.org/document_library/" TargetMode="External"/><Relationship Id="rId24" Type="http://schemas.openxmlformats.org/officeDocument/2006/relationships/ctrlProp" Target="../ctrlProps/ctrlProp4.xml"/><Relationship Id="rId32" Type="http://schemas.openxmlformats.org/officeDocument/2006/relationships/ctrlProp" Target="../ctrlProps/ctrlProp12.xml"/><Relationship Id="rId37" Type="http://schemas.openxmlformats.org/officeDocument/2006/relationships/ctrlProp" Target="../ctrlProps/ctrlProp17.xml"/><Relationship Id="rId40" Type="http://schemas.openxmlformats.org/officeDocument/2006/relationships/ctrlProp" Target="../ctrlProps/ctrlProp20.xml"/><Relationship Id="rId45" Type="http://schemas.openxmlformats.org/officeDocument/2006/relationships/ctrlProp" Target="../ctrlProps/ctrlProp25.xml"/><Relationship Id="rId53" Type="http://schemas.openxmlformats.org/officeDocument/2006/relationships/ctrlProp" Target="../ctrlProps/ctrlProp33.xml"/><Relationship Id="rId5" Type="http://schemas.openxmlformats.org/officeDocument/2006/relationships/hyperlink" Target="https://ico.org.uk/for-organisations/guide-to-data-protection/guide-to-the-general-data-protection-regulation-gdpr/lawful-basis-for-processing/special-category-data/" TargetMode="External"/><Relationship Id="rId19" Type="http://schemas.openxmlformats.org/officeDocument/2006/relationships/drawing" Target="../drawings/drawing3.xml"/><Relationship Id="rId4" Type="http://schemas.openxmlformats.org/officeDocument/2006/relationships/hyperlink" Target="https://ico.org.uk/for-organisations/guide-to-data-protection/guide-to-the-general-data-protection-regulation-gdpr/lawful-basis-for-processing/special-category-data/" TargetMode="External"/><Relationship Id="rId9" Type="http://schemas.openxmlformats.org/officeDocument/2006/relationships/hyperlink" Target="https://ico.org.uk/for-organisations/guide-to-data-protection/guide-to-the-general-data-protection-regulation-gdpr/lawful-basis-for-processing/special-category-data/" TargetMode="External"/><Relationship Id="rId14" Type="http://schemas.openxmlformats.org/officeDocument/2006/relationships/hyperlink" Target="https://ico.org.uk/for-organisations/guide-to-data-protection/guide-to-the-general-data-protection-regulation-gdpr/key-definitions/controllers-and-processors/" TargetMode="External"/><Relationship Id="rId22" Type="http://schemas.openxmlformats.org/officeDocument/2006/relationships/ctrlProp" Target="../ctrlProps/ctrlProp2.xml"/><Relationship Id="rId27" Type="http://schemas.openxmlformats.org/officeDocument/2006/relationships/ctrlProp" Target="../ctrlProps/ctrlProp7.xml"/><Relationship Id="rId30" Type="http://schemas.openxmlformats.org/officeDocument/2006/relationships/ctrlProp" Target="../ctrlProps/ctrlProp10.xml"/><Relationship Id="rId35" Type="http://schemas.openxmlformats.org/officeDocument/2006/relationships/ctrlProp" Target="../ctrlProps/ctrlProp15.xml"/><Relationship Id="rId43" Type="http://schemas.openxmlformats.org/officeDocument/2006/relationships/ctrlProp" Target="../ctrlProps/ctrlProp23.xml"/><Relationship Id="rId48" Type="http://schemas.openxmlformats.org/officeDocument/2006/relationships/ctrlProp" Target="../ctrlProps/ctrlProp28.xml"/><Relationship Id="rId56" Type="http://schemas.openxmlformats.org/officeDocument/2006/relationships/ctrlProp" Target="../ctrlProps/ctrlProp36.xml"/><Relationship Id="rId8" Type="http://schemas.openxmlformats.org/officeDocument/2006/relationships/hyperlink" Target="https://ico.org.uk/for-organisations/guide-to-data-protection/guide-to-the-general-data-protection-regulation-gdpr/lawful-basis-for-processing/special-category-data/" TargetMode="External"/><Relationship Id="rId51" Type="http://schemas.openxmlformats.org/officeDocument/2006/relationships/ctrlProp" Target="../ctrlProps/ctrlProp31.xml"/><Relationship Id="rId3" Type="http://schemas.openxmlformats.org/officeDocument/2006/relationships/hyperlink" Target="https://ico.org.uk/for-organisations/guide-to-data-protection/guide-to-the-general-data-protection-regulation-gdpr/lawful-basis-for-processing/special-category-data/" TargetMode="External"/><Relationship Id="rId12" Type="http://schemas.openxmlformats.org/officeDocument/2006/relationships/hyperlink" Target="https://ico.org.uk/for-organisations/guide-to-data-protection/guide-to-the-general-data-protection-regulation-gdpr/lawful-basis-for-processing/special-category-data/" TargetMode="External"/><Relationship Id="rId17" Type="http://schemas.openxmlformats.org/officeDocument/2006/relationships/hyperlink" Target="https://ico.org.uk/for-organisations/guide-to-data-protection/guide-to-the-general-data-protection-regulation-gdpr/lawful-basis-for-processing/special-category-data/" TargetMode="External"/><Relationship Id="rId25" Type="http://schemas.openxmlformats.org/officeDocument/2006/relationships/ctrlProp" Target="../ctrlProps/ctrlProp5.xml"/><Relationship Id="rId33" Type="http://schemas.openxmlformats.org/officeDocument/2006/relationships/ctrlProp" Target="../ctrlProps/ctrlProp13.xml"/><Relationship Id="rId38" Type="http://schemas.openxmlformats.org/officeDocument/2006/relationships/ctrlProp" Target="../ctrlProps/ctrlProp18.xml"/><Relationship Id="rId46" Type="http://schemas.openxmlformats.org/officeDocument/2006/relationships/ctrlProp" Target="../ctrlProps/ctrlProp26.xml"/><Relationship Id="rId20" Type="http://schemas.openxmlformats.org/officeDocument/2006/relationships/vmlDrawing" Target="../drawings/vmlDrawing2.vml"/><Relationship Id="rId41" Type="http://schemas.openxmlformats.org/officeDocument/2006/relationships/ctrlProp" Target="../ctrlProps/ctrlProp21.xml"/><Relationship Id="rId54" Type="http://schemas.openxmlformats.org/officeDocument/2006/relationships/ctrlProp" Target="../ctrlProps/ctrlProp34.xml"/><Relationship Id="rId1" Type="http://schemas.openxmlformats.org/officeDocument/2006/relationships/hyperlink" Target="https://ico.org.uk/for-organisations/guide-to-data-protection/guide-to-the-general-data-protection-regulation-gdpr/lawful-basis-for-processing/special-category-data/" TargetMode="External"/><Relationship Id="rId6" Type="http://schemas.openxmlformats.org/officeDocument/2006/relationships/hyperlink" Target="https://ico.org.uk/for-organisations/guide-to-data-protection/guide-to-the-general-data-protection-regulation-gdpr/lawful-basis-for-processing/special-category-data/" TargetMode="External"/><Relationship Id="rId15" Type="http://schemas.openxmlformats.org/officeDocument/2006/relationships/hyperlink" Target="https://ico.org.uk/for-organisations/guide-to-data-protection/guide-to-the-general-data-protection-regulation-gdpr/lawful-basis-for-processing/special-category-data/" TargetMode="External"/><Relationship Id="rId23" Type="http://schemas.openxmlformats.org/officeDocument/2006/relationships/ctrlProp" Target="../ctrlProps/ctrlProp3.xml"/><Relationship Id="rId28" Type="http://schemas.openxmlformats.org/officeDocument/2006/relationships/ctrlProp" Target="../ctrlProps/ctrlProp8.xml"/><Relationship Id="rId36" Type="http://schemas.openxmlformats.org/officeDocument/2006/relationships/ctrlProp" Target="../ctrlProps/ctrlProp16.xml"/><Relationship Id="rId49" Type="http://schemas.openxmlformats.org/officeDocument/2006/relationships/ctrlProp" Target="../ctrlProps/ctrlProp29.xml"/><Relationship Id="rId57" Type="http://schemas.openxmlformats.org/officeDocument/2006/relationships/comments" Target="../comments2.xml"/><Relationship Id="rId10" Type="http://schemas.openxmlformats.org/officeDocument/2006/relationships/hyperlink" Target="https://ico.org.uk/for-organisations/guide-to-data-protection/guide-to-the-general-data-protection-regulation-gdpr/lawful-basis-for-processing/special-category-data/" TargetMode="External"/><Relationship Id="rId31" Type="http://schemas.openxmlformats.org/officeDocument/2006/relationships/ctrlProp" Target="../ctrlProps/ctrlProp11.xml"/><Relationship Id="rId44" Type="http://schemas.openxmlformats.org/officeDocument/2006/relationships/ctrlProp" Target="../ctrlProps/ctrlProp24.xml"/><Relationship Id="rId52"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legislation.gov.uk/ukpga/2018/12/schedule/1/enacted"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hyperlink" Target="https://ico.org.uk/for-organisations/accountability-framework/training-and-awareness/" TargetMode="External"/><Relationship Id="rId21" Type="http://schemas.openxmlformats.org/officeDocument/2006/relationships/ctrlProp" Target="../ctrlProps/ctrlProp48.xml"/><Relationship Id="rId7" Type="http://schemas.openxmlformats.org/officeDocument/2006/relationships/printerSettings" Target="../printerSettings/printerSettings5.bin"/><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hyperlink" Target="https://ico.org.uk/for-organisations/sme-web-hub/make-your-own-privacy-notice/" TargetMode="External"/><Relationship Id="rId16" Type="http://schemas.openxmlformats.org/officeDocument/2006/relationships/ctrlProp" Target="../ctrlProps/ctrlProp43.xml"/><Relationship Id="rId20" Type="http://schemas.openxmlformats.org/officeDocument/2006/relationships/ctrlProp" Target="../ctrlProps/ctrlProp47.xml"/><Relationship Id="rId1" Type="http://schemas.openxmlformats.org/officeDocument/2006/relationships/hyperlink" Target="https://ico.org.uk/for-organisations/guide-to-data-protection/guide-to-the-general-data-protection-regulation-gdpr/individual-rights/right-of-access/" TargetMode="External"/><Relationship Id="rId6" Type="http://schemas.openxmlformats.org/officeDocument/2006/relationships/hyperlink" Target="https://ico.org.uk/for-organisations/guide-to-data-protection/guide-to-the-general-data-protection-regulation-gdpr/international-transfers/" TargetMode="External"/><Relationship Id="rId11" Type="http://schemas.openxmlformats.org/officeDocument/2006/relationships/ctrlProp" Target="../ctrlProps/ctrlProp38.xml"/><Relationship Id="rId24" Type="http://schemas.openxmlformats.org/officeDocument/2006/relationships/comments" Target="../comments4.xml"/><Relationship Id="rId5" Type="http://schemas.openxmlformats.org/officeDocument/2006/relationships/hyperlink" Target="https://ico.org.uk/for-organisations/guide-to-data-protection/guide-to-the-general-data-protection-regulation-gdpr/accountability-and-governance/documentation/" TargetMode="External"/><Relationship Id="rId15" Type="http://schemas.openxmlformats.org/officeDocument/2006/relationships/ctrlProp" Target="../ctrlProps/ctrlProp42.xml"/><Relationship Id="rId23" Type="http://schemas.openxmlformats.org/officeDocument/2006/relationships/ctrlProp" Target="../ctrlProps/ctrlProp50.xml"/><Relationship Id="rId10" Type="http://schemas.openxmlformats.org/officeDocument/2006/relationships/ctrlProp" Target="../ctrlProps/ctrlProp37.xml"/><Relationship Id="rId19" Type="http://schemas.openxmlformats.org/officeDocument/2006/relationships/ctrlProp" Target="../ctrlProps/ctrlProp46.xml"/><Relationship Id="rId4" Type="http://schemas.openxmlformats.org/officeDocument/2006/relationships/hyperlink" Target="https://ico.org.uk/for-organisations/guide-to-data-protection/guide-to-the-general-data-protection-regulation-gdpr/accountability-and-governance/contracts/" TargetMode="External"/><Relationship Id="rId9" Type="http://schemas.openxmlformats.org/officeDocument/2006/relationships/vmlDrawing" Target="../drawings/vmlDrawing4.vml"/><Relationship Id="rId14" Type="http://schemas.openxmlformats.org/officeDocument/2006/relationships/ctrlProp" Target="../ctrlProps/ctrlProp41.xml"/><Relationship Id="rId22" Type="http://schemas.openxmlformats.org/officeDocument/2006/relationships/ctrlProp" Target="../ctrlProps/ctrlProp49.xml"/></Relationships>
</file>

<file path=xl/worksheets/_rels/sheet7.xml.rels><?xml version="1.0" encoding="UTF-8" standalone="yes"?>
<Relationships xmlns="http://schemas.openxmlformats.org/package/2006/relationships"><Relationship Id="rId8" Type="http://schemas.openxmlformats.org/officeDocument/2006/relationships/hyperlink" Target="https://ico.org.uk/for-organisations/guide-to-data-protection/guide-to-the-general-data-protection-regulation-gdpr/principles/data-minimisation/" TargetMode="External"/><Relationship Id="rId13" Type="http://schemas.openxmlformats.org/officeDocument/2006/relationships/hyperlink" Target="https://www.legislation.gov.uk/eur/2016/679/article/22" TargetMode="External"/><Relationship Id="rId18" Type="http://schemas.openxmlformats.org/officeDocument/2006/relationships/ctrlProp" Target="../ctrlProps/ctrlProp53.xml"/><Relationship Id="rId3" Type="http://schemas.openxmlformats.org/officeDocument/2006/relationships/hyperlink" Target="https://www.legislation.gov.uk/eur/2016/679/article/9" TargetMode="External"/><Relationship Id="rId21" Type="http://schemas.openxmlformats.org/officeDocument/2006/relationships/ctrlProp" Target="../ctrlProps/ctrlProp56.xml"/><Relationship Id="rId7" Type="http://schemas.openxmlformats.org/officeDocument/2006/relationships/hyperlink" Target="https://ico.org.uk/for-organisations/guide-to-data-protection/guide-to-the-general-data-protection-regulation-gdpr/principles/purpose-limitation/" TargetMode="External"/><Relationship Id="rId12" Type="http://schemas.openxmlformats.org/officeDocument/2006/relationships/hyperlink" Target="https://ico.org.uk/media/for-organisations/documents/2616286/appropriate-policy-document.docx" TargetMode="External"/><Relationship Id="rId17" Type="http://schemas.openxmlformats.org/officeDocument/2006/relationships/ctrlProp" Target="../ctrlProps/ctrlProp52.xml"/><Relationship Id="rId2" Type="http://schemas.openxmlformats.org/officeDocument/2006/relationships/hyperlink" Target="https://www.legislation.gov.uk/eur/2016/679/article/6" TargetMode="External"/><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hyperlink" Target="https://ico.org.uk/for-organisations/guide-to-data-protection/guide-to-the-general-data-protection-regulation-gdpr/lawful-basis-for-processing/special-category-data/" TargetMode="External"/><Relationship Id="rId6" Type="http://schemas.openxmlformats.org/officeDocument/2006/relationships/hyperlink" Target="https://ico.org.uk/for-organisations/guide-to-data-protection/guide-to-the-general-data-protection-regulation-gdpr/principles/lawfulness-fairness-and-transparency/" TargetMode="External"/><Relationship Id="rId11" Type="http://schemas.openxmlformats.org/officeDocument/2006/relationships/hyperlink" Target="https://ico.org.uk/for-organisations/guide-to-data-protection/guide-to-the-general-data-protection-regulation-gdpr/principles/storage-limitation/" TargetMode="External"/><Relationship Id="rId24" Type="http://schemas.openxmlformats.org/officeDocument/2006/relationships/comments" Target="../comments5.xml"/><Relationship Id="rId5" Type="http://schemas.openxmlformats.org/officeDocument/2006/relationships/hyperlink" Target="https://ico.org.uk/for-organisations/guide-to-data-protection/guide-to-the-general-data-protection-regulation-gdpr/accountability-and-governance/" TargetMode="External"/><Relationship Id="rId15" Type="http://schemas.openxmlformats.org/officeDocument/2006/relationships/vmlDrawing" Target="../drawings/vmlDrawing5.vml"/><Relationship Id="rId23" Type="http://schemas.openxmlformats.org/officeDocument/2006/relationships/ctrlProp" Target="../ctrlProps/ctrlProp58.xml"/><Relationship Id="rId10" Type="http://schemas.openxmlformats.org/officeDocument/2006/relationships/hyperlink" Target="https://ico.org.uk/for-organisations/guide-to-data-protection/guide-to-the-general-data-protection-regulation-gdpr/security/" TargetMode="External"/><Relationship Id="rId19" Type="http://schemas.openxmlformats.org/officeDocument/2006/relationships/ctrlProp" Target="../ctrlProps/ctrlProp54.xml"/><Relationship Id="rId4" Type="http://schemas.openxmlformats.org/officeDocument/2006/relationships/hyperlink" Target="https://www.legislation.gov.uk/ukpga/2018/12/schedule/1/enacted" TargetMode="External"/><Relationship Id="rId9" Type="http://schemas.openxmlformats.org/officeDocument/2006/relationships/hyperlink" Target="https://ico.org.uk/for-organisations/guide-to-data-protection/guide-to-the-general-data-protection-regulation-gdpr/principles/accuracy/" TargetMode="External"/><Relationship Id="rId14" Type="http://schemas.openxmlformats.org/officeDocument/2006/relationships/drawing" Target="../drawings/drawing6.xml"/><Relationship Id="rId22" Type="http://schemas.openxmlformats.org/officeDocument/2006/relationships/ctrlProp" Target="../ctrlProps/ctrlProp5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hyperlink" Target="https://ico.org.uk/for-organisations/guide-to-data-protection/guide-to-the-general-data-protection-regulation-gdpr/documentation/what-do-we-need-to-document-under-article-30-of-the-gdpr/" TargetMode="External"/><Relationship Id="rId7" Type="http://schemas.openxmlformats.org/officeDocument/2006/relationships/comments" Target="../comments7.xml"/><Relationship Id="rId2" Type="http://schemas.openxmlformats.org/officeDocument/2006/relationships/hyperlink" Target="https://www.legislation.gov.uk/eur/2016/679/article/9" TargetMode="External"/><Relationship Id="rId1" Type="http://schemas.openxmlformats.org/officeDocument/2006/relationships/hyperlink" Target="https://www.legislation.gov.uk/eur/2016/679/article/6" TargetMode="External"/><Relationship Id="rId6" Type="http://schemas.openxmlformats.org/officeDocument/2006/relationships/vmlDrawing" Target="../drawings/vmlDrawing7.vml"/><Relationship Id="rId5" Type="http://schemas.openxmlformats.org/officeDocument/2006/relationships/drawing" Target="../drawings/drawing8.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20F03-66B2-4B93-9DB0-9545D6DC137A}">
  <sheetPr codeName="Sheet2"/>
  <dimension ref="A1:P19"/>
  <sheetViews>
    <sheetView zoomScaleNormal="100" workbookViewId="0">
      <selection activeCell="B10" sqref="B10:E10"/>
    </sheetView>
  </sheetViews>
  <sheetFormatPr defaultRowHeight="15"/>
  <sheetData>
    <row r="1" spans="1:16">
      <c r="A1" s="40"/>
      <c r="B1" s="42"/>
      <c r="C1" s="42"/>
      <c r="D1" s="42"/>
      <c r="E1" s="42"/>
      <c r="F1" s="42"/>
      <c r="G1" s="42"/>
      <c r="H1" s="42"/>
      <c r="I1" s="42"/>
      <c r="J1" s="42"/>
      <c r="K1" s="42"/>
      <c r="L1" s="42"/>
      <c r="M1" s="42"/>
      <c r="N1" s="42"/>
      <c r="O1" s="42"/>
      <c r="P1" s="43"/>
    </row>
    <row r="2" spans="1:16">
      <c r="A2" s="44"/>
      <c r="B2" s="45"/>
      <c r="C2" s="45"/>
      <c r="D2" s="45"/>
      <c r="E2" s="45"/>
      <c r="F2" s="45"/>
      <c r="G2" s="45"/>
      <c r="H2" s="45"/>
      <c r="I2" s="45"/>
      <c r="J2" s="45"/>
      <c r="K2" s="45"/>
      <c r="L2" s="45"/>
      <c r="M2" s="45"/>
      <c r="N2" s="45"/>
      <c r="O2" s="45"/>
      <c r="P2" s="46"/>
    </row>
    <row r="3" spans="1:16">
      <c r="A3" s="44"/>
      <c r="B3" s="45"/>
      <c r="C3" s="45"/>
      <c r="D3" s="45"/>
      <c r="E3" s="45"/>
      <c r="F3" s="45"/>
      <c r="G3" s="45"/>
      <c r="H3" s="45"/>
      <c r="I3" s="45"/>
      <c r="J3" s="45"/>
      <c r="K3" s="45"/>
      <c r="L3" s="45"/>
      <c r="M3" s="45"/>
      <c r="N3" s="45"/>
      <c r="O3" s="45"/>
      <c r="P3" s="46"/>
    </row>
    <row r="4" spans="1:16">
      <c r="A4" s="44"/>
      <c r="B4" s="45"/>
      <c r="C4" s="45"/>
      <c r="D4" s="45"/>
      <c r="E4" s="45"/>
      <c r="F4" s="45"/>
      <c r="G4" s="45"/>
      <c r="H4" s="45"/>
      <c r="I4" s="45"/>
      <c r="J4" s="45"/>
      <c r="K4" s="45"/>
      <c r="L4" s="45"/>
      <c r="M4" s="45"/>
      <c r="N4" s="45"/>
      <c r="O4" s="45"/>
      <c r="P4" s="46"/>
    </row>
    <row r="5" spans="1:16">
      <c r="A5" s="44"/>
      <c r="B5" s="45"/>
      <c r="C5" s="45"/>
      <c r="D5" s="45"/>
      <c r="E5" s="45"/>
      <c r="F5" s="45"/>
      <c r="G5" s="45"/>
      <c r="H5" s="45"/>
      <c r="I5" s="45"/>
      <c r="J5" s="45"/>
      <c r="K5" s="45"/>
      <c r="L5" s="45"/>
      <c r="M5" s="45"/>
      <c r="N5" s="45"/>
      <c r="O5" s="45"/>
      <c r="P5" s="46"/>
    </row>
    <row r="6" spans="1:16">
      <c r="A6" s="44"/>
      <c r="B6" s="45"/>
      <c r="C6" s="45"/>
      <c r="D6" s="45"/>
      <c r="E6" s="45"/>
      <c r="F6" s="45"/>
      <c r="G6" s="45"/>
      <c r="H6" s="45"/>
      <c r="I6" s="45"/>
      <c r="J6" s="45"/>
      <c r="K6" s="45"/>
      <c r="L6" s="45"/>
      <c r="M6" s="45"/>
      <c r="N6" s="45"/>
      <c r="O6" s="45"/>
      <c r="P6" s="46"/>
    </row>
    <row r="7" spans="1:16">
      <c r="A7" s="44"/>
      <c r="B7" s="45"/>
      <c r="C7" s="45"/>
      <c r="D7" s="45"/>
      <c r="E7" s="45"/>
      <c r="F7" s="45"/>
      <c r="G7" s="45"/>
      <c r="H7" s="45"/>
      <c r="I7" s="45"/>
      <c r="J7" s="45"/>
      <c r="K7" s="45"/>
      <c r="L7" s="45"/>
      <c r="M7" s="45"/>
      <c r="N7" s="45"/>
      <c r="O7" s="45"/>
      <c r="P7" s="46"/>
    </row>
    <row r="8" spans="1:16">
      <c r="A8" s="44"/>
      <c r="B8" s="45"/>
      <c r="C8" s="45"/>
      <c r="D8" s="45"/>
      <c r="E8" s="45"/>
      <c r="F8" s="45"/>
      <c r="G8" s="45"/>
      <c r="H8" s="45"/>
      <c r="I8" s="45"/>
      <c r="J8" s="45"/>
      <c r="K8" s="45"/>
      <c r="L8" s="45"/>
      <c r="M8" s="45"/>
      <c r="N8" s="45"/>
      <c r="O8" s="45"/>
      <c r="P8" s="46"/>
    </row>
    <row r="9" spans="1:16">
      <c r="A9" s="44"/>
      <c r="B9" s="45"/>
      <c r="C9" s="45"/>
      <c r="D9" s="45"/>
      <c r="E9" s="45"/>
      <c r="F9" s="45"/>
      <c r="G9" s="45"/>
      <c r="H9" s="45"/>
      <c r="I9" s="45"/>
      <c r="J9" s="45"/>
      <c r="K9" s="45"/>
      <c r="L9" s="45"/>
      <c r="M9" s="45"/>
      <c r="N9" s="45"/>
      <c r="O9" s="45"/>
      <c r="P9" s="46"/>
    </row>
    <row r="10" spans="1:16" ht="21">
      <c r="A10" s="44"/>
      <c r="B10" s="365" t="s">
        <v>698</v>
      </c>
      <c r="C10" s="365"/>
      <c r="D10" s="365"/>
      <c r="E10" s="365"/>
      <c r="F10" s="45"/>
      <c r="G10" s="45"/>
      <c r="H10" s="45"/>
      <c r="I10" s="45"/>
      <c r="J10" s="45"/>
      <c r="K10" s="45"/>
      <c r="L10" s="45"/>
      <c r="M10" s="45"/>
      <c r="N10" s="45"/>
      <c r="O10" s="45"/>
      <c r="P10" s="46"/>
    </row>
    <row r="11" spans="1:16">
      <c r="A11" s="44"/>
      <c r="B11" s="45"/>
      <c r="C11" s="45"/>
      <c r="D11" s="45"/>
      <c r="E11" s="45"/>
      <c r="F11" s="45"/>
      <c r="G11" s="45"/>
      <c r="H11" s="45"/>
      <c r="I11" s="45"/>
      <c r="J11" s="45"/>
      <c r="K11" s="45"/>
      <c r="L11" s="45"/>
      <c r="M11" s="45"/>
      <c r="N11" s="45"/>
      <c r="O11" s="45"/>
      <c r="P11" s="46"/>
    </row>
    <row r="12" spans="1:16">
      <c r="A12" s="44"/>
      <c r="B12" s="377" t="s">
        <v>701</v>
      </c>
      <c r="C12" s="377"/>
      <c r="D12" s="377"/>
      <c r="E12" s="377"/>
      <c r="F12" s="377"/>
      <c r="G12" s="377"/>
      <c r="H12" s="377"/>
      <c r="I12" s="377"/>
      <c r="J12" s="377"/>
      <c r="K12" s="377"/>
      <c r="L12" s="377"/>
      <c r="M12" s="377"/>
      <c r="N12" s="377"/>
      <c r="O12" s="377"/>
      <c r="P12" s="46"/>
    </row>
    <row r="13" spans="1:16">
      <c r="A13" s="44"/>
      <c r="B13" s="377"/>
      <c r="C13" s="377"/>
      <c r="D13" s="377"/>
      <c r="E13" s="377"/>
      <c r="F13" s="377"/>
      <c r="G13" s="377"/>
      <c r="H13" s="377"/>
      <c r="I13" s="377"/>
      <c r="J13" s="377"/>
      <c r="K13" s="377"/>
      <c r="L13" s="377"/>
      <c r="M13" s="377"/>
      <c r="N13" s="377"/>
      <c r="O13" s="377"/>
      <c r="P13" s="46"/>
    </row>
    <row r="14" spans="1:16">
      <c r="A14" s="44"/>
      <c r="B14" s="45"/>
      <c r="C14" s="45"/>
      <c r="D14" s="45"/>
      <c r="E14" s="45"/>
      <c r="F14" s="45"/>
      <c r="G14" s="45"/>
      <c r="H14" s="45"/>
      <c r="I14" s="45"/>
      <c r="J14" s="45"/>
      <c r="K14" s="45"/>
      <c r="L14" s="45"/>
      <c r="M14" s="45"/>
      <c r="N14" s="45"/>
      <c r="O14" s="45"/>
      <c r="P14" s="46"/>
    </row>
    <row r="15" spans="1:16">
      <c r="A15" s="44"/>
      <c r="B15" s="377" t="s">
        <v>825</v>
      </c>
      <c r="C15" s="377"/>
      <c r="D15" s="377"/>
      <c r="E15" s="377"/>
      <c r="F15" s="377"/>
      <c r="G15" s="377"/>
      <c r="H15" s="377"/>
      <c r="I15" s="377"/>
      <c r="J15" s="377"/>
      <c r="K15" s="377"/>
      <c r="L15" s="377"/>
      <c r="M15" s="377"/>
      <c r="N15" s="377"/>
      <c r="O15" s="377"/>
      <c r="P15" s="46"/>
    </row>
    <row r="16" spans="1:16">
      <c r="A16" s="44"/>
      <c r="B16" s="377"/>
      <c r="C16" s="377"/>
      <c r="D16" s="377"/>
      <c r="E16" s="377"/>
      <c r="F16" s="377"/>
      <c r="G16" s="377"/>
      <c r="H16" s="377"/>
      <c r="I16" s="377"/>
      <c r="J16" s="377"/>
      <c r="K16" s="377"/>
      <c r="L16" s="377"/>
      <c r="M16" s="377"/>
      <c r="N16" s="377"/>
      <c r="O16" s="377"/>
      <c r="P16" s="46"/>
    </row>
    <row r="17" spans="1:16">
      <c r="A17" s="44"/>
      <c r="B17" s="45"/>
      <c r="C17" s="45"/>
      <c r="D17" s="45"/>
      <c r="E17" s="45"/>
      <c r="F17" s="45"/>
      <c r="G17" s="45"/>
      <c r="H17" s="45"/>
      <c r="I17" s="45"/>
      <c r="J17" s="45"/>
      <c r="K17" s="45"/>
      <c r="L17" s="45"/>
      <c r="M17" s="45"/>
      <c r="N17" s="45"/>
      <c r="O17" s="45"/>
      <c r="P17" s="46"/>
    </row>
    <row r="18" spans="1:16">
      <c r="A18" s="44"/>
      <c r="B18" s="160" t="s">
        <v>11</v>
      </c>
      <c r="C18" s="45"/>
      <c r="D18" s="45"/>
      <c r="E18" s="45"/>
      <c r="F18" s="45"/>
      <c r="G18" s="45"/>
      <c r="H18" s="45"/>
      <c r="I18" s="45"/>
      <c r="J18" s="45"/>
      <c r="K18" s="45"/>
      <c r="L18" s="45"/>
      <c r="M18" s="45"/>
      <c r="N18" s="45"/>
      <c r="O18" s="45"/>
      <c r="P18" s="46"/>
    </row>
    <row r="19" spans="1:16" ht="15.75" thickBot="1">
      <c r="A19" s="47"/>
      <c r="B19" s="48"/>
      <c r="C19" s="48"/>
      <c r="D19" s="48"/>
      <c r="E19" s="48"/>
      <c r="F19" s="48"/>
      <c r="G19" s="48"/>
      <c r="H19" s="48"/>
      <c r="I19" s="48"/>
      <c r="J19" s="48"/>
      <c r="K19" s="48"/>
      <c r="L19" s="48"/>
      <c r="M19" s="48"/>
      <c r="N19" s="48"/>
      <c r="O19" s="48"/>
      <c r="P19" s="49"/>
    </row>
  </sheetData>
  <mergeCells count="3">
    <mergeCell ref="B10:E10"/>
    <mergeCell ref="B12:O13"/>
    <mergeCell ref="B15:O1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6FBA1-977C-4E24-B0DB-A861D53CE3C1}">
  <sheetPr codeName="Sheet10"/>
  <dimension ref="A1:O54"/>
  <sheetViews>
    <sheetView zoomScaleNormal="100" workbookViewId="0">
      <selection activeCell="B5" sqref="B5:C5"/>
    </sheetView>
  </sheetViews>
  <sheetFormatPr defaultRowHeight="15"/>
  <sheetData>
    <row r="1" spans="1:14">
      <c r="A1" s="40"/>
      <c r="B1" s="42"/>
      <c r="C1" s="42"/>
      <c r="D1" s="42"/>
      <c r="E1" s="42"/>
      <c r="F1" s="42"/>
      <c r="G1" s="42"/>
      <c r="H1" s="42"/>
      <c r="I1" s="42"/>
      <c r="J1" s="42"/>
      <c r="K1" s="42"/>
      <c r="L1" s="42"/>
      <c r="M1" s="42"/>
      <c r="N1" s="43"/>
    </row>
    <row r="2" spans="1:14">
      <c r="A2" s="44"/>
      <c r="B2" s="45"/>
      <c r="C2" s="45"/>
      <c r="D2" s="45"/>
      <c r="E2" s="45"/>
      <c r="F2" s="45"/>
      <c r="G2" s="45"/>
      <c r="H2" s="45"/>
      <c r="I2" s="45"/>
      <c r="J2" s="45"/>
      <c r="K2" s="45"/>
      <c r="L2" s="45"/>
      <c r="M2" s="45"/>
      <c r="N2" s="46"/>
    </row>
    <row r="3" spans="1:14">
      <c r="A3" s="44"/>
      <c r="B3" s="45"/>
      <c r="C3" s="45"/>
      <c r="D3" s="45"/>
      <c r="E3" s="45"/>
      <c r="F3" s="45"/>
      <c r="G3" s="45"/>
      <c r="H3" s="45"/>
      <c r="I3" s="45"/>
      <c r="J3" s="45"/>
      <c r="K3" s="45"/>
      <c r="L3" s="45"/>
      <c r="M3" s="45"/>
      <c r="N3" s="46"/>
    </row>
    <row r="4" spans="1:14">
      <c r="A4" s="44"/>
      <c r="B4" s="45"/>
      <c r="C4" s="45"/>
      <c r="D4" s="45"/>
      <c r="E4" s="45"/>
      <c r="F4" s="45"/>
      <c r="G4" s="45"/>
      <c r="H4" s="45"/>
      <c r="I4" s="45"/>
      <c r="J4" s="45"/>
      <c r="K4" s="45"/>
      <c r="L4" s="45"/>
      <c r="M4" s="45"/>
      <c r="N4" s="46"/>
    </row>
    <row r="5" spans="1:14" ht="21">
      <c r="A5" s="189" t="s">
        <v>5</v>
      </c>
      <c r="B5" s="365" t="s">
        <v>1</v>
      </c>
      <c r="C5" s="365"/>
      <c r="D5" s="228"/>
      <c r="E5" s="45"/>
      <c r="F5" s="45"/>
      <c r="G5" s="45"/>
      <c r="H5" s="45"/>
      <c r="I5" s="45"/>
      <c r="J5" s="45"/>
      <c r="K5" s="45"/>
      <c r="L5" s="45"/>
      <c r="M5" s="45"/>
      <c r="N5" s="46"/>
    </row>
    <row r="6" spans="1:14" ht="15" customHeight="1">
      <c r="A6" s="44"/>
      <c r="B6" s="367" t="s">
        <v>831</v>
      </c>
      <c r="C6" s="367"/>
      <c r="D6" s="367"/>
      <c r="E6" s="367"/>
      <c r="F6" s="367"/>
      <c r="G6" s="367"/>
      <c r="H6" s="367"/>
      <c r="I6" s="367"/>
      <c r="J6" s="367"/>
      <c r="K6" s="367"/>
      <c r="L6" s="367"/>
      <c r="M6" s="367"/>
      <c r="N6" s="46"/>
    </row>
    <row r="7" spans="1:14">
      <c r="A7" s="44"/>
      <c r="B7" s="367"/>
      <c r="C7" s="367"/>
      <c r="D7" s="367"/>
      <c r="E7" s="367"/>
      <c r="F7" s="367"/>
      <c r="G7" s="367"/>
      <c r="H7" s="367"/>
      <c r="I7" s="367"/>
      <c r="J7" s="367"/>
      <c r="K7" s="367"/>
      <c r="L7" s="367"/>
      <c r="M7" s="367"/>
      <c r="N7" s="46"/>
    </row>
    <row r="8" spans="1:14">
      <c r="A8" s="44"/>
      <c r="B8" s="367"/>
      <c r="C8" s="367"/>
      <c r="D8" s="367"/>
      <c r="E8" s="367"/>
      <c r="F8" s="367"/>
      <c r="G8" s="367"/>
      <c r="H8" s="367"/>
      <c r="I8" s="367"/>
      <c r="J8" s="367"/>
      <c r="K8" s="367"/>
      <c r="L8" s="367"/>
      <c r="M8" s="367"/>
      <c r="N8" s="46"/>
    </row>
    <row r="9" spans="1:14">
      <c r="A9" s="44"/>
      <c r="B9" s="367"/>
      <c r="C9" s="367"/>
      <c r="D9" s="367"/>
      <c r="E9" s="367"/>
      <c r="F9" s="367"/>
      <c r="G9" s="367"/>
      <c r="H9" s="367"/>
      <c r="I9" s="367"/>
      <c r="J9" s="367"/>
      <c r="K9" s="367"/>
      <c r="L9" s="367"/>
      <c r="M9" s="367"/>
      <c r="N9" s="46"/>
    </row>
    <row r="10" spans="1:14">
      <c r="A10" s="44"/>
      <c r="B10" s="367"/>
      <c r="C10" s="367"/>
      <c r="D10" s="367"/>
      <c r="E10" s="367"/>
      <c r="F10" s="367"/>
      <c r="G10" s="367"/>
      <c r="H10" s="367"/>
      <c r="I10" s="367"/>
      <c r="J10" s="367"/>
      <c r="K10" s="367"/>
      <c r="L10" s="367"/>
      <c r="M10" s="367"/>
      <c r="N10" s="46"/>
    </row>
    <row r="11" spans="1:14" ht="15.75" thickBot="1">
      <c r="A11" s="47"/>
      <c r="B11" s="48"/>
      <c r="C11" s="48"/>
      <c r="D11" s="48"/>
      <c r="E11" s="48"/>
      <c r="F11" s="48"/>
      <c r="G11" s="48"/>
      <c r="H11" s="48"/>
      <c r="I11" s="48"/>
      <c r="J11" s="48"/>
      <c r="K11" s="48"/>
      <c r="L11" s="48"/>
      <c r="M11" s="48"/>
      <c r="N11" s="49"/>
    </row>
    <row r="12" spans="1:14" ht="18.75">
      <c r="A12" s="30"/>
      <c r="B12" s="31" t="s">
        <v>731</v>
      </c>
      <c r="C12" s="32"/>
      <c r="D12" s="32"/>
      <c r="E12" s="32"/>
      <c r="F12" s="32"/>
      <c r="G12" s="32"/>
      <c r="H12" s="32"/>
      <c r="I12" s="32"/>
      <c r="J12" s="32"/>
      <c r="K12" s="193" t="s">
        <v>551</v>
      </c>
      <c r="L12" s="32"/>
      <c r="M12" s="32"/>
      <c r="N12" s="229" t="s">
        <v>61</v>
      </c>
    </row>
    <row r="13" spans="1:14" ht="16.5" thickBot="1">
      <c r="A13" s="230" t="s">
        <v>4</v>
      </c>
      <c r="B13" s="35" t="s">
        <v>522</v>
      </c>
      <c r="C13" s="35"/>
      <c r="D13" s="35"/>
      <c r="E13" s="35"/>
      <c r="F13" s="35"/>
      <c r="G13" s="35"/>
      <c r="H13" s="35"/>
      <c r="I13" s="35"/>
      <c r="J13" s="35"/>
      <c r="K13" s="231" t="s">
        <v>552</v>
      </c>
      <c r="L13" s="119"/>
      <c r="M13" s="119"/>
      <c r="N13" s="270" t="s">
        <v>844</v>
      </c>
    </row>
    <row r="14" spans="1:14" ht="16.5" thickBot="1">
      <c r="A14" s="230" t="s">
        <v>4</v>
      </c>
      <c r="B14" s="35" t="s">
        <v>554</v>
      </c>
      <c r="C14" s="35"/>
      <c r="D14" s="35"/>
      <c r="E14" s="35"/>
      <c r="F14" s="35"/>
      <c r="G14" s="35"/>
      <c r="H14" s="35"/>
      <c r="I14" s="35"/>
      <c r="J14" s="35"/>
      <c r="K14" s="426" t="s">
        <v>552</v>
      </c>
      <c r="L14" s="427"/>
      <c r="M14" s="428"/>
      <c r="N14" s="270" t="s">
        <v>845</v>
      </c>
    </row>
    <row r="15" spans="1:14" ht="15.75">
      <c r="A15" s="230"/>
      <c r="B15" s="35" t="s">
        <v>636</v>
      </c>
      <c r="C15" s="35"/>
      <c r="D15" s="35"/>
      <c r="E15" s="35"/>
      <c r="F15" s="35"/>
      <c r="G15" s="35"/>
      <c r="H15" s="35"/>
      <c r="I15" s="35"/>
      <c r="J15" s="35"/>
      <c r="K15" s="231" t="s">
        <v>556</v>
      </c>
      <c r="L15" s="115"/>
      <c r="M15" s="115"/>
      <c r="N15" s="270" t="s">
        <v>846</v>
      </c>
    </row>
    <row r="16" spans="1:14" ht="15.75">
      <c r="A16" s="230" t="s">
        <v>4</v>
      </c>
      <c r="B16" s="35" t="s">
        <v>523</v>
      </c>
      <c r="C16" s="35"/>
      <c r="D16" s="35"/>
      <c r="E16" s="35"/>
      <c r="F16" s="35"/>
      <c r="G16" s="35"/>
      <c r="H16" s="35"/>
      <c r="I16" s="35"/>
      <c r="J16" s="35"/>
      <c r="K16" s="231" t="s">
        <v>556</v>
      </c>
      <c r="L16" s="35"/>
      <c r="M16" s="35"/>
      <c r="N16" s="270" t="s">
        <v>847</v>
      </c>
    </row>
    <row r="17" spans="1:15" ht="15.75">
      <c r="A17" s="230" t="s">
        <v>4</v>
      </c>
      <c r="B17" s="35" t="s">
        <v>524</v>
      </c>
      <c r="C17" s="35"/>
      <c r="D17" s="35"/>
      <c r="E17" s="35"/>
      <c r="F17" s="35"/>
      <c r="G17" s="35"/>
      <c r="H17" s="35"/>
      <c r="I17" s="35"/>
      <c r="J17" s="35"/>
      <c r="K17" s="35" t="s">
        <v>555</v>
      </c>
      <c r="L17" s="35"/>
      <c r="M17" s="35"/>
      <c r="N17" s="270" t="s">
        <v>848</v>
      </c>
      <c r="O17" s="223"/>
    </row>
    <row r="18" spans="1:15" ht="15.75">
      <c r="A18" s="230" t="s">
        <v>4</v>
      </c>
      <c r="B18" s="35" t="s">
        <v>525</v>
      </c>
      <c r="C18" s="35"/>
      <c r="D18" s="35"/>
      <c r="E18" s="35"/>
      <c r="F18" s="35"/>
      <c r="G18" s="35"/>
      <c r="H18" s="35"/>
      <c r="I18" s="35"/>
      <c r="J18" s="35"/>
      <c r="K18" s="35" t="s">
        <v>555</v>
      </c>
      <c r="L18" s="35"/>
      <c r="M18" s="35"/>
      <c r="N18" s="270" t="s">
        <v>849</v>
      </c>
    </row>
    <row r="19" spans="1:15" ht="15.75">
      <c r="A19" s="230" t="s">
        <v>4</v>
      </c>
      <c r="B19" s="35" t="s">
        <v>526</v>
      </c>
      <c r="C19" s="35"/>
      <c r="D19" s="35"/>
      <c r="E19" s="35"/>
      <c r="F19" s="35"/>
      <c r="G19" s="35"/>
      <c r="H19" s="35"/>
      <c r="I19" s="35"/>
      <c r="J19" s="35"/>
      <c r="K19" s="35" t="s">
        <v>557</v>
      </c>
      <c r="L19" s="35"/>
      <c r="M19" s="35"/>
      <c r="N19" s="270" t="s">
        <v>850</v>
      </c>
    </row>
    <row r="20" spans="1:15" ht="15.75">
      <c r="A20" s="230" t="s">
        <v>4</v>
      </c>
      <c r="B20" s="35" t="s">
        <v>527</v>
      </c>
      <c r="C20" s="35"/>
      <c r="D20" s="35"/>
      <c r="E20" s="35"/>
      <c r="F20" s="35"/>
      <c r="G20" s="35"/>
      <c r="H20" s="35"/>
      <c r="I20" s="35"/>
      <c r="J20" s="35"/>
      <c r="K20" s="35" t="s">
        <v>563</v>
      </c>
      <c r="L20" s="35"/>
      <c r="M20" s="35"/>
      <c r="N20" s="270" t="s">
        <v>851</v>
      </c>
    </row>
    <row r="21" spans="1:15" ht="15.75">
      <c r="A21" s="230" t="s">
        <v>4</v>
      </c>
      <c r="B21" s="35" t="s">
        <v>528</v>
      </c>
      <c r="C21" s="35"/>
      <c r="D21" s="35"/>
      <c r="E21" s="35"/>
      <c r="F21" s="35"/>
      <c r="G21" s="35"/>
      <c r="H21" s="35"/>
      <c r="I21" s="35"/>
      <c r="J21" s="35"/>
      <c r="K21" s="35" t="s">
        <v>564</v>
      </c>
      <c r="L21" s="35"/>
      <c r="M21" s="35"/>
      <c r="N21" s="270" t="s">
        <v>852</v>
      </c>
    </row>
    <row r="22" spans="1:15" ht="15.75">
      <c r="A22" s="230" t="s">
        <v>4</v>
      </c>
      <c r="B22" s="35" t="s">
        <v>529</v>
      </c>
      <c r="C22" s="35"/>
      <c r="D22" s="35"/>
      <c r="E22" s="35"/>
      <c r="F22" s="35"/>
      <c r="G22" s="35"/>
      <c r="H22" s="35"/>
      <c r="I22" s="35"/>
      <c r="J22" s="35"/>
      <c r="K22" s="35" t="s">
        <v>559</v>
      </c>
      <c r="L22" s="35"/>
      <c r="M22" s="35"/>
      <c r="N22" s="270" t="s">
        <v>853</v>
      </c>
    </row>
    <row r="23" spans="1:15" ht="15.75">
      <c r="A23" s="230" t="s">
        <v>4</v>
      </c>
      <c r="B23" s="35" t="s">
        <v>530</v>
      </c>
      <c r="C23" s="35"/>
      <c r="D23" s="35"/>
      <c r="E23" s="35"/>
      <c r="F23" s="35"/>
      <c r="G23" s="35"/>
      <c r="H23" s="35"/>
      <c r="I23" s="35"/>
      <c r="J23" s="35"/>
      <c r="K23" s="35" t="s">
        <v>558</v>
      </c>
      <c r="L23" s="35"/>
      <c r="M23" s="35"/>
      <c r="N23" s="270" t="s">
        <v>854</v>
      </c>
    </row>
    <row r="24" spans="1:15" ht="15.75">
      <c r="A24" s="230" t="s">
        <v>4</v>
      </c>
      <c r="B24" s="35" t="s">
        <v>569</v>
      </c>
      <c r="C24" s="35"/>
      <c r="D24" s="35"/>
      <c r="E24" s="35"/>
      <c r="F24" s="35"/>
      <c r="G24" s="35"/>
      <c r="H24" s="35"/>
      <c r="I24" s="35"/>
      <c r="J24" s="35"/>
      <c r="K24" s="35" t="s">
        <v>568</v>
      </c>
      <c r="L24" s="35"/>
      <c r="M24" s="35"/>
      <c r="N24" s="270" t="s">
        <v>855</v>
      </c>
      <c r="O24" s="223"/>
    </row>
    <row r="25" spans="1:15" ht="15.75">
      <c r="A25" s="230" t="s">
        <v>4</v>
      </c>
      <c r="B25" s="35" t="s">
        <v>531</v>
      </c>
      <c r="C25" s="35"/>
      <c r="D25" s="35"/>
      <c r="E25" s="35"/>
      <c r="F25" s="35"/>
      <c r="G25" s="35"/>
      <c r="H25" s="35"/>
      <c r="I25" s="35"/>
      <c r="J25" s="35"/>
      <c r="K25" s="35" t="s">
        <v>565</v>
      </c>
      <c r="L25" s="35"/>
      <c r="M25" s="35"/>
      <c r="N25" s="270" t="s">
        <v>856</v>
      </c>
    </row>
    <row r="26" spans="1:15" ht="15.75">
      <c r="A26" s="230" t="s">
        <v>4</v>
      </c>
      <c r="B26" s="35" t="s">
        <v>553</v>
      </c>
      <c r="C26" s="35"/>
      <c r="D26" s="35"/>
      <c r="E26" s="35"/>
      <c r="F26" s="35"/>
      <c r="G26" s="35"/>
      <c r="H26" s="35"/>
      <c r="I26" s="35"/>
      <c r="J26" s="35"/>
      <c r="K26" s="35" t="s">
        <v>562</v>
      </c>
      <c r="L26" s="35"/>
      <c r="M26" s="35"/>
      <c r="N26" s="270" t="s">
        <v>857</v>
      </c>
    </row>
    <row r="27" spans="1:15" ht="15.75">
      <c r="A27" s="230" t="s">
        <v>4</v>
      </c>
      <c r="B27" s="35" t="s">
        <v>561</v>
      </c>
      <c r="C27" s="35"/>
      <c r="D27" s="35"/>
      <c r="E27" s="35"/>
      <c r="F27" s="35"/>
      <c r="G27" s="35"/>
      <c r="H27" s="35"/>
      <c r="I27" s="35"/>
      <c r="J27" s="35"/>
      <c r="K27" s="35" t="s">
        <v>560</v>
      </c>
      <c r="L27" s="35"/>
      <c r="M27" s="35"/>
      <c r="N27" s="270" t="s">
        <v>858</v>
      </c>
    </row>
    <row r="28" spans="1:15" ht="16.5" thickBot="1">
      <c r="A28" s="232" t="s">
        <v>4</v>
      </c>
      <c r="B28" s="38" t="s">
        <v>532</v>
      </c>
      <c r="C28" s="38"/>
      <c r="D28" s="38"/>
      <c r="E28" s="38"/>
      <c r="F28" s="38"/>
      <c r="G28" s="38"/>
      <c r="H28" s="38"/>
      <c r="I28" s="38"/>
      <c r="J28" s="38"/>
      <c r="K28" s="38" t="s">
        <v>567</v>
      </c>
      <c r="L28" s="38"/>
      <c r="M28" s="38"/>
      <c r="N28" s="270" t="s">
        <v>859</v>
      </c>
    </row>
    <row r="29" spans="1:15" ht="18.75">
      <c r="A29" s="19"/>
      <c r="B29" s="20" t="s">
        <v>732</v>
      </c>
      <c r="C29" s="21"/>
      <c r="D29" s="21"/>
      <c r="E29" s="21"/>
      <c r="F29" s="21"/>
      <c r="G29" s="21"/>
      <c r="H29" s="21"/>
      <c r="I29" s="21"/>
      <c r="J29" s="21"/>
      <c r="K29" s="268" t="s">
        <v>551</v>
      </c>
      <c r="L29" s="21"/>
      <c r="M29" s="21"/>
      <c r="N29" s="269" t="s">
        <v>61</v>
      </c>
      <c r="O29" s="223"/>
    </row>
    <row r="30" spans="1:15">
      <c r="A30" s="23"/>
      <c r="B30" s="460" t="s">
        <v>623</v>
      </c>
      <c r="C30" s="460"/>
      <c r="D30" s="460"/>
      <c r="E30" s="460"/>
      <c r="F30" s="460"/>
      <c r="G30" s="460"/>
      <c r="H30" s="460"/>
      <c r="I30" s="460"/>
      <c r="J30" s="460"/>
      <c r="K30" s="461" t="s">
        <v>842</v>
      </c>
      <c r="L30" s="460"/>
      <c r="M30" s="460"/>
      <c r="N30" s="271" t="s">
        <v>860</v>
      </c>
    </row>
    <row r="31" spans="1:15">
      <c r="A31" s="23"/>
      <c r="B31" s="460" t="s">
        <v>637</v>
      </c>
      <c r="C31" s="460"/>
      <c r="D31" s="460"/>
      <c r="E31" s="460"/>
      <c r="F31" s="460"/>
      <c r="G31" s="460"/>
      <c r="H31" s="460"/>
      <c r="I31" s="460"/>
      <c r="J31" s="460"/>
      <c r="K31" s="461" t="s">
        <v>555</v>
      </c>
      <c r="L31" s="460"/>
      <c r="M31" s="460"/>
      <c r="N31" s="271" t="s">
        <v>861</v>
      </c>
    </row>
    <row r="32" spans="1:15">
      <c r="A32" s="23"/>
      <c r="B32" s="460" t="s">
        <v>624</v>
      </c>
      <c r="C32" s="460"/>
      <c r="D32" s="460"/>
      <c r="E32" s="460"/>
      <c r="F32" s="460"/>
      <c r="G32" s="460"/>
      <c r="H32" s="460"/>
      <c r="I32" s="460"/>
      <c r="J32" s="460"/>
      <c r="K32" s="461" t="s">
        <v>843</v>
      </c>
      <c r="L32" s="460"/>
      <c r="M32" s="460"/>
      <c r="N32" s="271" t="s">
        <v>862</v>
      </c>
    </row>
    <row r="33" spans="1:15">
      <c r="A33" s="23"/>
      <c r="B33" s="460" t="s">
        <v>626</v>
      </c>
      <c r="C33" s="460"/>
      <c r="D33" s="460"/>
      <c r="E33" s="460"/>
      <c r="F33" s="460"/>
      <c r="G33" s="460"/>
      <c r="H33" s="460"/>
      <c r="I33" s="460"/>
      <c r="J33" s="460"/>
      <c r="K33" s="461" t="s">
        <v>560</v>
      </c>
      <c r="L33" s="460"/>
      <c r="M33" s="460"/>
      <c r="N33" s="271" t="s">
        <v>863</v>
      </c>
    </row>
    <row r="34" spans="1:15">
      <c r="A34" s="23"/>
      <c r="B34" s="460" t="s">
        <v>628</v>
      </c>
      <c r="C34" s="460"/>
      <c r="D34" s="460"/>
      <c r="E34" s="460"/>
      <c r="F34" s="460"/>
      <c r="G34" s="460"/>
      <c r="H34" s="460"/>
      <c r="I34" s="460"/>
      <c r="J34" s="460"/>
      <c r="K34" s="461" t="s">
        <v>629</v>
      </c>
      <c r="L34" s="460"/>
      <c r="M34" s="460"/>
      <c r="N34" s="271" t="s">
        <v>864</v>
      </c>
      <c r="O34" s="223"/>
    </row>
    <row r="35" spans="1:15">
      <c r="A35" s="23"/>
      <c r="B35" s="460" t="s">
        <v>627</v>
      </c>
      <c r="C35" s="460"/>
      <c r="D35" s="460"/>
      <c r="E35" s="460"/>
      <c r="F35" s="460"/>
      <c r="G35" s="460"/>
      <c r="H35" s="460"/>
      <c r="I35" s="460"/>
      <c r="J35" s="460"/>
      <c r="K35" s="461" t="s">
        <v>841</v>
      </c>
      <c r="L35" s="460"/>
      <c r="M35" s="460"/>
      <c r="N35" s="271" t="s">
        <v>865</v>
      </c>
    </row>
    <row r="36" spans="1:15" ht="15.75">
      <c r="A36" s="273" t="s">
        <v>4</v>
      </c>
      <c r="B36" s="460" t="s">
        <v>635</v>
      </c>
      <c r="C36" s="460"/>
      <c r="D36" s="460"/>
      <c r="E36" s="460"/>
      <c r="F36" s="460"/>
      <c r="G36" s="460"/>
      <c r="H36" s="460"/>
      <c r="I36" s="460"/>
      <c r="J36" s="460"/>
      <c r="K36" s="461" t="s">
        <v>562</v>
      </c>
      <c r="L36" s="460"/>
      <c r="M36" s="460"/>
      <c r="N36" s="271" t="s">
        <v>866</v>
      </c>
    </row>
    <row r="37" spans="1:15">
      <c r="A37" s="23"/>
      <c r="B37" s="460" t="s">
        <v>625</v>
      </c>
      <c r="C37" s="460"/>
      <c r="D37" s="460"/>
      <c r="E37" s="460"/>
      <c r="F37" s="460"/>
      <c r="G37" s="460"/>
      <c r="H37" s="460"/>
      <c r="I37" s="460"/>
      <c r="J37" s="460"/>
      <c r="K37" s="461" t="s">
        <v>630</v>
      </c>
      <c r="L37" s="460"/>
      <c r="M37" s="460"/>
      <c r="N37" s="271" t="s">
        <v>867</v>
      </c>
    </row>
    <row r="38" spans="1:15">
      <c r="A38" s="23"/>
      <c r="B38" s="460" t="s">
        <v>622</v>
      </c>
      <c r="C38" s="460"/>
      <c r="D38" s="460"/>
      <c r="E38" s="460"/>
      <c r="F38" s="460"/>
      <c r="G38" s="460"/>
      <c r="H38" s="460"/>
      <c r="I38" s="460"/>
      <c r="J38" s="460"/>
      <c r="K38" s="461" t="s">
        <v>839</v>
      </c>
      <c r="L38" s="460"/>
      <c r="M38" s="460"/>
      <c r="N38" s="271" t="s">
        <v>868</v>
      </c>
    </row>
    <row r="39" spans="1:15">
      <c r="A39" s="23"/>
      <c r="B39" s="460" t="s">
        <v>638</v>
      </c>
      <c r="C39" s="460"/>
      <c r="D39" s="460"/>
      <c r="E39" s="460"/>
      <c r="F39" s="460"/>
      <c r="G39" s="460"/>
      <c r="H39" s="460"/>
      <c r="I39" s="460"/>
      <c r="J39" s="460"/>
      <c r="K39" s="461" t="s">
        <v>840</v>
      </c>
      <c r="L39" s="460"/>
      <c r="M39" s="460"/>
      <c r="N39" s="271" t="s">
        <v>869</v>
      </c>
    </row>
    <row r="40" spans="1:15">
      <c r="A40" s="23"/>
      <c r="B40" s="460" t="s">
        <v>639</v>
      </c>
      <c r="C40" s="460"/>
      <c r="D40" s="460"/>
      <c r="E40" s="460"/>
      <c r="F40" s="460"/>
      <c r="G40" s="460"/>
      <c r="H40" s="460"/>
      <c r="I40" s="460"/>
      <c r="J40" s="460"/>
      <c r="K40" s="461" t="s">
        <v>640</v>
      </c>
      <c r="L40" s="460"/>
      <c r="M40" s="460"/>
      <c r="N40" s="271" t="s">
        <v>870</v>
      </c>
    </row>
    <row r="41" spans="1:15">
      <c r="A41" s="23"/>
      <c r="B41" s="460" t="s">
        <v>788</v>
      </c>
      <c r="C41" s="460"/>
      <c r="D41" s="460"/>
      <c r="E41" s="460"/>
      <c r="F41" s="460"/>
      <c r="G41" s="460"/>
      <c r="H41" s="460"/>
      <c r="I41" s="460"/>
      <c r="J41" s="460"/>
      <c r="K41" s="461" t="s">
        <v>838</v>
      </c>
      <c r="L41" s="460"/>
      <c r="M41" s="460"/>
      <c r="N41" s="271" t="s">
        <v>871</v>
      </c>
    </row>
    <row r="42" spans="1:15" ht="15.75" thickBot="1">
      <c r="A42" s="27"/>
      <c r="B42" s="28" t="s">
        <v>836</v>
      </c>
      <c r="C42" s="28"/>
      <c r="D42" s="28"/>
      <c r="E42" s="28"/>
      <c r="F42" s="28"/>
      <c r="G42" s="28"/>
      <c r="H42" s="28"/>
      <c r="I42" s="28"/>
      <c r="J42" s="28"/>
      <c r="K42" s="133" t="s">
        <v>837</v>
      </c>
      <c r="L42" s="28"/>
      <c r="M42" s="28"/>
      <c r="N42" s="272" t="s">
        <v>872</v>
      </c>
    </row>
    <row r="44" spans="1:15">
      <c r="O44" s="223"/>
    </row>
    <row r="49" spans="15:15">
      <c r="O49" s="223"/>
    </row>
    <row r="54" spans="15:15">
      <c r="O54" s="223"/>
    </row>
  </sheetData>
  <sortState xmlns:xlrd2="http://schemas.microsoft.com/office/spreadsheetml/2017/richdata2" ref="B30:N38">
    <sortCondition ref="B30:B38"/>
  </sortState>
  <mergeCells count="3">
    <mergeCell ref="B5:C5"/>
    <mergeCell ref="K14:M14"/>
    <mergeCell ref="B6:M10"/>
  </mergeCells>
  <conditionalFormatting sqref="A5">
    <cfRule type="expression" dxfId="2" priority="1">
      <formula>$H$35="No"</formula>
    </cfRule>
  </conditionalFormatting>
  <hyperlinks>
    <hyperlink ref="A5" r:id="rId1" xr:uid="{4FBBEB44-14DE-4207-82BB-EC2CBF99D141}"/>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72D16-ACF9-4779-8672-73DC5821AA60}">
  <sheetPr codeName="Sheet11"/>
  <dimension ref="A1:Q167"/>
  <sheetViews>
    <sheetView zoomScaleNormal="100" workbookViewId="0">
      <selection activeCell="B5" sqref="B5:C5"/>
    </sheetView>
  </sheetViews>
  <sheetFormatPr defaultRowHeight="15"/>
  <sheetData>
    <row r="1" spans="1:17">
      <c r="A1" s="40"/>
      <c r="B1" s="42"/>
      <c r="C1" s="42"/>
      <c r="D1" s="42"/>
      <c r="E1" s="42"/>
      <c r="F1" s="42"/>
      <c r="G1" s="42"/>
      <c r="H1" s="42"/>
      <c r="I1" s="42"/>
      <c r="J1" s="42"/>
      <c r="K1" s="42"/>
      <c r="L1" s="42"/>
      <c r="M1" s="42"/>
      <c r="N1" s="43"/>
    </row>
    <row r="2" spans="1:17">
      <c r="A2" s="44"/>
      <c r="B2" s="45"/>
      <c r="C2" s="45"/>
      <c r="D2" s="45"/>
      <c r="E2" s="45"/>
      <c r="F2" s="45"/>
      <c r="G2" s="45"/>
      <c r="H2" s="45"/>
      <c r="I2" s="45"/>
      <c r="J2" s="45"/>
      <c r="K2" s="45"/>
      <c r="L2" s="45"/>
      <c r="M2" s="45"/>
      <c r="N2" s="46"/>
    </row>
    <row r="3" spans="1:17">
      <c r="A3" s="44"/>
      <c r="B3" s="45"/>
      <c r="C3" s="45"/>
      <c r="D3" s="45"/>
      <c r="E3" s="45"/>
      <c r="F3" s="45"/>
      <c r="G3" s="45"/>
      <c r="H3" s="45"/>
      <c r="I3" s="45"/>
      <c r="J3" s="45"/>
      <c r="K3" s="45"/>
      <c r="L3" s="45"/>
      <c r="M3" s="45"/>
      <c r="N3" s="46"/>
    </row>
    <row r="4" spans="1:17">
      <c r="A4" s="44"/>
      <c r="B4" s="45"/>
      <c r="C4" s="45"/>
      <c r="D4" s="45"/>
      <c r="E4" s="45"/>
      <c r="F4" s="45"/>
      <c r="G4" s="45"/>
      <c r="H4" s="45"/>
      <c r="I4" s="45"/>
      <c r="J4" s="45"/>
      <c r="K4" s="45"/>
      <c r="L4" s="45"/>
      <c r="M4" s="45"/>
      <c r="N4" s="46"/>
    </row>
    <row r="5" spans="1:17" ht="21">
      <c r="A5" s="189" t="s">
        <v>5</v>
      </c>
      <c r="B5" s="365" t="s">
        <v>0</v>
      </c>
      <c r="C5" s="365"/>
      <c r="D5" s="45"/>
      <c r="E5" s="45"/>
      <c r="F5" s="45"/>
      <c r="G5" s="45"/>
      <c r="H5" s="45"/>
      <c r="I5" s="45"/>
      <c r="J5" s="45"/>
      <c r="K5" s="45"/>
      <c r="L5" s="45"/>
      <c r="M5" s="45"/>
      <c r="N5" s="46"/>
    </row>
    <row r="6" spans="1:17" ht="15" customHeight="1">
      <c r="A6" s="44"/>
      <c r="B6" s="377" t="s">
        <v>818</v>
      </c>
      <c r="C6" s="377"/>
      <c r="D6" s="377"/>
      <c r="E6" s="377"/>
      <c r="F6" s="377"/>
      <c r="G6" s="377"/>
      <c r="H6" s="377"/>
      <c r="I6" s="377"/>
      <c r="J6" s="377"/>
      <c r="K6" s="377"/>
      <c r="L6" s="377"/>
      <c r="M6" s="377"/>
      <c r="N6" s="46"/>
      <c r="Q6" s="233"/>
    </row>
    <row r="7" spans="1:17">
      <c r="A7" s="44"/>
      <c r="B7" s="377"/>
      <c r="C7" s="377"/>
      <c r="D7" s="377"/>
      <c r="E7" s="377"/>
      <c r="F7" s="377"/>
      <c r="G7" s="377"/>
      <c r="H7" s="377"/>
      <c r="I7" s="377"/>
      <c r="J7" s="377"/>
      <c r="K7" s="377"/>
      <c r="L7" s="377"/>
      <c r="M7" s="377"/>
      <c r="N7" s="46"/>
    </row>
    <row r="8" spans="1:17">
      <c r="A8" s="44"/>
      <c r="B8" s="377"/>
      <c r="C8" s="377"/>
      <c r="D8" s="377"/>
      <c r="E8" s="377"/>
      <c r="F8" s="377"/>
      <c r="G8" s="377"/>
      <c r="H8" s="377"/>
      <c r="I8" s="377"/>
      <c r="J8" s="377"/>
      <c r="K8" s="377"/>
      <c r="L8" s="377"/>
      <c r="M8" s="377"/>
      <c r="N8" s="46"/>
    </row>
    <row r="9" spans="1:17">
      <c r="A9" s="44"/>
      <c r="B9" s="377"/>
      <c r="C9" s="377"/>
      <c r="D9" s="377"/>
      <c r="E9" s="377"/>
      <c r="F9" s="377"/>
      <c r="G9" s="377"/>
      <c r="H9" s="377"/>
      <c r="I9" s="377"/>
      <c r="J9" s="377"/>
      <c r="K9" s="377"/>
      <c r="L9" s="377"/>
      <c r="M9" s="377"/>
      <c r="N9" s="46"/>
    </row>
    <row r="10" spans="1:17" ht="15" customHeight="1">
      <c r="A10" s="44"/>
      <c r="B10" s="377" t="s">
        <v>819</v>
      </c>
      <c r="C10" s="377"/>
      <c r="D10" s="377"/>
      <c r="E10" s="377"/>
      <c r="F10" s="377"/>
      <c r="G10" s="377"/>
      <c r="H10" s="377"/>
      <c r="I10" s="377"/>
      <c r="J10" s="377"/>
      <c r="K10" s="377"/>
      <c r="L10" s="377"/>
      <c r="M10" s="377"/>
      <c r="N10" s="46"/>
    </row>
    <row r="11" spans="1:17">
      <c r="A11" s="44"/>
      <c r="B11" s="377"/>
      <c r="C11" s="377"/>
      <c r="D11" s="377"/>
      <c r="E11" s="377"/>
      <c r="F11" s="377"/>
      <c r="G11" s="377"/>
      <c r="H11" s="377"/>
      <c r="I11" s="377"/>
      <c r="J11" s="377"/>
      <c r="K11" s="377"/>
      <c r="L11" s="377"/>
      <c r="M11" s="377"/>
      <c r="N11" s="46"/>
    </row>
    <row r="12" spans="1:17">
      <c r="A12" s="44"/>
      <c r="B12" s="377"/>
      <c r="C12" s="377"/>
      <c r="D12" s="377"/>
      <c r="E12" s="377"/>
      <c r="F12" s="377"/>
      <c r="G12" s="377"/>
      <c r="H12" s="377"/>
      <c r="I12" s="377"/>
      <c r="J12" s="377"/>
      <c r="K12" s="377"/>
      <c r="L12" s="377"/>
      <c r="M12" s="377"/>
      <c r="N12" s="46"/>
    </row>
    <row r="13" spans="1:17">
      <c r="A13" s="44"/>
      <c r="B13" s="298"/>
      <c r="C13" s="298"/>
      <c r="D13" s="298"/>
      <c r="E13" s="298"/>
      <c r="F13" s="298"/>
      <c r="G13" s="298"/>
      <c r="H13" s="298"/>
      <c r="I13" s="298"/>
      <c r="J13" s="298"/>
      <c r="K13" s="298"/>
      <c r="L13" s="298"/>
      <c r="M13" s="298"/>
      <c r="N13" s="46"/>
    </row>
    <row r="14" spans="1:17" ht="15.75">
      <c r="A14" s="44"/>
      <c r="B14" s="275"/>
      <c r="C14" s="274"/>
      <c r="D14" s="274"/>
      <c r="E14" s="276" t="s">
        <v>816</v>
      </c>
      <c r="F14" s="277" t="s">
        <v>5</v>
      </c>
      <c r="G14" s="274"/>
      <c r="H14" s="274"/>
      <c r="I14" s="274"/>
      <c r="J14" s="274"/>
      <c r="K14" s="274"/>
      <c r="L14" s="276" t="s">
        <v>817</v>
      </c>
      <c r="M14" s="277" t="s">
        <v>5</v>
      </c>
      <c r="N14" s="46"/>
    </row>
    <row r="15" spans="1:17" ht="15.75" thickBot="1">
      <c r="A15" s="47"/>
      <c r="B15" s="48"/>
      <c r="C15" s="48"/>
      <c r="D15" s="48"/>
      <c r="E15" s="48"/>
      <c r="F15" s="48"/>
      <c r="G15" s="48"/>
      <c r="H15" s="48"/>
      <c r="I15" s="48"/>
      <c r="J15" s="48"/>
      <c r="K15" s="48"/>
      <c r="L15" s="48"/>
      <c r="M15" s="48"/>
      <c r="N15" s="49"/>
    </row>
    <row r="16" spans="1:17" ht="18.75">
      <c r="A16" s="19"/>
      <c r="B16" s="234" t="s">
        <v>570</v>
      </c>
      <c r="C16" s="235"/>
      <c r="D16" s="21"/>
      <c r="E16" s="21"/>
      <c r="F16" s="21"/>
      <c r="G16" s="21"/>
      <c r="H16" s="21"/>
      <c r="I16" s="21"/>
      <c r="J16" s="21"/>
      <c r="K16" s="21"/>
      <c r="L16" s="21"/>
      <c r="M16" s="21"/>
      <c r="N16" s="22"/>
    </row>
    <row r="17" spans="1:14" ht="15.75" thickBot="1">
      <c r="A17" s="23"/>
      <c r="B17" s="24"/>
      <c r="C17" s="24"/>
      <c r="D17" s="80" t="s">
        <v>571</v>
      </c>
      <c r="E17" s="24" t="str">
        <f>DAWorkings!D4</f>
        <v>Enter your Charity name here</v>
      </c>
      <c r="F17" s="24"/>
      <c r="G17" s="24"/>
      <c r="H17" s="24"/>
      <c r="I17" s="24"/>
      <c r="J17" s="24"/>
      <c r="K17" s="24"/>
      <c r="L17" s="24"/>
      <c r="M17" s="24"/>
      <c r="N17" s="25"/>
    </row>
    <row r="18" spans="1:14" ht="15.75" thickBot="1">
      <c r="A18" s="23"/>
      <c r="B18" s="24"/>
      <c r="C18" s="24"/>
      <c r="D18" s="80" t="s">
        <v>572</v>
      </c>
      <c r="E18" s="429"/>
      <c r="F18" s="430"/>
      <c r="G18" s="431"/>
      <c r="H18" s="24"/>
      <c r="I18" s="24"/>
      <c r="J18" s="24"/>
      <c r="K18" s="24"/>
      <c r="L18" s="24"/>
      <c r="M18" s="24"/>
      <c r="N18" s="25"/>
    </row>
    <row r="19" spans="1:14" ht="15.75" thickBot="1">
      <c r="A19" s="27"/>
      <c r="B19" s="28"/>
      <c r="C19" s="28"/>
      <c r="D19" s="28"/>
      <c r="E19" s="28"/>
      <c r="F19" s="28"/>
      <c r="G19" s="28"/>
      <c r="H19" s="28"/>
      <c r="I19" s="28"/>
      <c r="J19" s="28"/>
      <c r="K19" s="28"/>
      <c r="L19" s="28"/>
      <c r="M19" s="28"/>
      <c r="N19" s="29"/>
    </row>
    <row r="20" spans="1:14" ht="18.75">
      <c r="A20" s="30"/>
      <c r="B20" s="31" t="s">
        <v>573</v>
      </c>
      <c r="C20" s="32"/>
      <c r="D20" s="32"/>
      <c r="E20" s="32"/>
      <c r="F20" s="32"/>
      <c r="G20" s="32"/>
      <c r="H20" s="32"/>
      <c r="I20" s="32"/>
      <c r="J20" s="32"/>
      <c r="K20" s="32"/>
      <c r="L20" s="32"/>
      <c r="M20" s="32"/>
      <c r="N20" s="33"/>
    </row>
    <row r="21" spans="1:14">
      <c r="A21" s="34"/>
      <c r="B21" s="459" t="s">
        <v>574</v>
      </c>
      <c r="C21" s="459"/>
      <c r="D21" s="459"/>
      <c r="E21" s="459"/>
      <c r="F21" s="459"/>
      <c r="G21" s="459"/>
      <c r="H21" s="459"/>
      <c r="I21" s="459"/>
      <c r="J21" s="459"/>
      <c r="K21" s="459"/>
      <c r="L21" s="459"/>
      <c r="M21" s="459"/>
      <c r="N21" s="36"/>
    </row>
    <row r="22" spans="1:14" ht="15.75" thickBot="1">
      <c r="A22" s="34"/>
      <c r="B22" s="459"/>
      <c r="C22" s="459"/>
      <c r="D22" s="459"/>
      <c r="E22" s="459"/>
      <c r="F22" s="459"/>
      <c r="G22" s="459"/>
      <c r="H22" s="459"/>
      <c r="I22" s="459"/>
      <c r="J22" s="459"/>
      <c r="K22" s="459"/>
      <c r="L22" s="459"/>
      <c r="M22" s="459"/>
      <c r="N22" s="36"/>
    </row>
    <row r="23" spans="1:14">
      <c r="A23" s="34"/>
      <c r="B23" s="435"/>
      <c r="C23" s="436"/>
      <c r="D23" s="436"/>
      <c r="E23" s="436"/>
      <c r="F23" s="436"/>
      <c r="G23" s="436"/>
      <c r="H23" s="436"/>
      <c r="I23" s="436"/>
      <c r="J23" s="436"/>
      <c r="K23" s="436"/>
      <c r="L23" s="436"/>
      <c r="M23" s="437"/>
      <c r="N23" s="36"/>
    </row>
    <row r="24" spans="1:14">
      <c r="A24" s="34"/>
      <c r="B24" s="438"/>
      <c r="C24" s="439"/>
      <c r="D24" s="439"/>
      <c r="E24" s="439"/>
      <c r="F24" s="439"/>
      <c r="G24" s="439"/>
      <c r="H24" s="439"/>
      <c r="I24" s="439"/>
      <c r="J24" s="439"/>
      <c r="K24" s="439"/>
      <c r="L24" s="439"/>
      <c r="M24" s="440"/>
      <c r="N24" s="36"/>
    </row>
    <row r="25" spans="1:14">
      <c r="A25" s="34"/>
      <c r="B25" s="438"/>
      <c r="C25" s="439"/>
      <c r="D25" s="439"/>
      <c r="E25" s="439"/>
      <c r="F25" s="439"/>
      <c r="G25" s="439"/>
      <c r="H25" s="439"/>
      <c r="I25" s="439"/>
      <c r="J25" s="439"/>
      <c r="K25" s="439"/>
      <c r="L25" s="439"/>
      <c r="M25" s="440"/>
      <c r="N25" s="36"/>
    </row>
    <row r="26" spans="1:14">
      <c r="A26" s="34"/>
      <c r="B26" s="438"/>
      <c r="C26" s="439"/>
      <c r="D26" s="439"/>
      <c r="E26" s="439"/>
      <c r="F26" s="439"/>
      <c r="G26" s="439"/>
      <c r="H26" s="439"/>
      <c r="I26" s="439"/>
      <c r="J26" s="439"/>
      <c r="K26" s="439"/>
      <c r="L26" s="439"/>
      <c r="M26" s="440"/>
      <c r="N26" s="36"/>
    </row>
    <row r="27" spans="1:14">
      <c r="A27" s="34"/>
      <c r="B27" s="438"/>
      <c r="C27" s="439"/>
      <c r="D27" s="439"/>
      <c r="E27" s="439"/>
      <c r="F27" s="439"/>
      <c r="G27" s="439"/>
      <c r="H27" s="439"/>
      <c r="I27" s="439"/>
      <c r="J27" s="439"/>
      <c r="K27" s="439"/>
      <c r="L27" s="439"/>
      <c r="M27" s="440"/>
      <c r="N27" s="36"/>
    </row>
    <row r="28" spans="1:14">
      <c r="A28" s="34"/>
      <c r="B28" s="438"/>
      <c r="C28" s="439"/>
      <c r="D28" s="439"/>
      <c r="E28" s="439"/>
      <c r="F28" s="439"/>
      <c r="G28" s="439"/>
      <c r="H28" s="439"/>
      <c r="I28" s="439"/>
      <c r="J28" s="439"/>
      <c r="K28" s="439"/>
      <c r="L28" s="439"/>
      <c r="M28" s="440"/>
      <c r="N28" s="36"/>
    </row>
    <row r="29" spans="1:14" ht="15.75" thickBot="1">
      <c r="A29" s="34"/>
      <c r="B29" s="441"/>
      <c r="C29" s="442"/>
      <c r="D29" s="442"/>
      <c r="E29" s="442"/>
      <c r="F29" s="442"/>
      <c r="G29" s="442"/>
      <c r="H29" s="442"/>
      <c r="I29" s="442"/>
      <c r="J29" s="442"/>
      <c r="K29" s="442"/>
      <c r="L29" s="442"/>
      <c r="M29" s="443"/>
      <c r="N29" s="36"/>
    </row>
    <row r="30" spans="1:14" ht="15.75" thickBot="1">
      <c r="A30" s="34"/>
      <c r="B30" s="35"/>
      <c r="C30" s="35"/>
      <c r="D30" s="35"/>
      <c r="E30" s="35"/>
      <c r="F30" s="35"/>
      <c r="G30" s="35"/>
      <c r="H30" s="35"/>
      <c r="I30" s="35"/>
      <c r="J30" s="35"/>
      <c r="K30" s="35"/>
      <c r="L30" s="35"/>
      <c r="M30" s="35"/>
      <c r="N30" s="36"/>
    </row>
    <row r="31" spans="1:14" ht="18.75">
      <c r="A31" s="19"/>
      <c r="B31" s="20" t="s">
        <v>575</v>
      </c>
      <c r="C31" s="21"/>
      <c r="D31" s="21"/>
      <c r="E31" s="21"/>
      <c r="F31" s="21"/>
      <c r="G31" s="21"/>
      <c r="H31" s="21"/>
      <c r="I31" s="21"/>
      <c r="J31" s="21"/>
      <c r="K31" s="21"/>
      <c r="L31" s="21"/>
      <c r="M31" s="21"/>
      <c r="N31" s="22"/>
    </row>
    <row r="32" spans="1:14">
      <c r="A32" s="23"/>
      <c r="B32" s="372" t="s">
        <v>577</v>
      </c>
      <c r="C32" s="372"/>
      <c r="D32" s="372"/>
      <c r="E32" s="372"/>
      <c r="F32" s="372"/>
      <c r="G32" s="372"/>
      <c r="H32" s="372"/>
      <c r="I32" s="372"/>
      <c r="J32" s="372"/>
      <c r="K32" s="372"/>
      <c r="L32" s="372"/>
      <c r="M32" s="372"/>
      <c r="N32" s="25"/>
    </row>
    <row r="33" spans="1:14">
      <c r="A33" s="23"/>
      <c r="B33" s="372"/>
      <c r="C33" s="372"/>
      <c r="D33" s="372"/>
      <c r="E33" s="372"/>
      <c r="F33" s="372"/>
      <c r="G33" s="372"/>
      <c r="H33" s="372"/>
      <c r="I33" s="372"/>
      <c r="J33" s="372"/>
      <c r="K33" s="372"/>
      <c r="L33" s="372"/>
      <c r="M33" s="372"/>
      <c r="N33" s="25"/>
    </row>
    <row r="34" spans="1:14" ht="15.75" thickBot="1">
      <c r="A34" s="23"/>
      <c r="B34" s="372"/>
      <c r="C34" s="372"/>
      <c r="D34" s="372"/>
      <c r="E34" s="372"/>
      <c r="F34" s="372"/>
      <c r="G34" s="372"/>
      <c r="H34" s="372"/>
      <c r="I34" s="372"/>
      <c r="J34" s="372"/>
      <c r="K34" s="372"/>
      <c r="L34" s="372"/>
      <c r="M34" s="372"/>
      <c r="N34" s="25"/>
    </row>
    <row r="35" spans="1:14">
      <c r="A35" s="23"/>
      <c r="B35" s="435"/>
      <c r="C35" s="436"/>
      <c r="D35" s="436"/>
      <c r="E35" s="436"/>
      <c r="F35" s="436"/>
      <c r="G35" s="436"/>
      <c r="H35" s="436"/>
      <c r="I35" s="436"/>
      <c r="J35" s="436"/>
      <c r="K35" s="436"/>
      <c r="L35" s="436"/>
      <c r="M35" s="437"/>
      <c r="N35" s="25"/>
    </row>
    <row r="36" spans="1:14">
      <c r="A36" s="23"/>
      <c r="B36" s="438"/>
      <c r="C36" s="439"/>
      <c r="D36" s="439"/>
      <c r="E36" s="439"/>
      <c r="F36" s="439"/>
      <c r="G36" s="439"/>
      <c r="H36" s="439"/>
      <c r="I36" s="439"/>
      <c r="J36" s="439"/>
      <c r="K36" s="439"/>
      <c r="L36" s="439"/>
      <c r="M36" s="440"/>
      <c r="N36" s="25"/>
    </row>
    <row r="37" spans="1:14">
      <c r="A37" s="23"/>
      <c r="B37" s="438"/>
      <c r="C37" s="439"/>
      <c r="D37" s="439"/>
      <c r="E37" s="439"/>
      <c r="F37" s="439"/>
      <c r="G37" s="439"/>
      <c r="H37" s="439"/>
      <c r="I37" s="439"/>
      <c r="J37" s="439"/>
      <c r="K37" s="439"/>
      <c r="L37" s="439"/>
      <c r="M37" s="440"/>
      <c r="N37" s="25"/>
    </row>
    <row r="38" spans="1:14">
      <c r="A38" s="23"/>
      <c r="B38" s="438"/>
      <c r="C38" s="439"/>
      <c r="D38" s="439"/>
      <c r="E38" s="439"/>
      <c r="F38" s="439"/>
      <c r="G38" s="439"/>
      <c r="H38" s="439"/>
      <c r="I38" s="439"/>
      <c r="J38" s="439"/>
      <c r="K38" s="439"/>
      <c r="L38" s="439"/>
      <c r="M38" s="440"/>
      <c r="N38" s="25"/>
    </row>
    <row r="39" spans="1:14">
      <c r="A39" s="23"/>
      <c r="B39" s="438"/>
      <c r="C39" s="439"/>
      <c r="D39" s="439"/>
      <c r="E39" s="439"/>
      <c r="F39" s="439"/>
      <c r="G39" s="439"/>
      <c r="H39" s="439"/>
      <c r="I39" s="439"/>
      <c r="J39" s="439"/>
      <c r="K39" s="439"/>
      <c r="L39" s="439"/>
      <c r="M39" s="440"/>
      <c r="N39" s="25"/>
    </row>
    <row r="40" spans="1:14">
      <c r="A40" s="23"/>
      <c r="B40" s="438"/>
      <c r="C40" s="439"/>
      <c r="D40" s="439"/>
      <c r="E40" s="439"/>
      <c r="F40" s="439"/>
      <c r="G40" s="439"/>
      <c r="H40" s="439"/>
      <c r="I40" s="439"/>
      <c r="J40" s="439"/>
      <c r="K40" s="439"/>
      <c r="L40" s="439"/>
      <c r="M40" s="440"/>
      <c r="N40" s="25"/>
    </row>
    <row r="41" spans="1:14" ht="15.75" thickBot="1">
      <c r="A41" s="23"/>
      <c r="B41" s="441"/>
      <c r="C41" s="442"/>
      <c r="D41" s="442"/>
      <c r="E41" s="442"/>
      <c r="F41" s="442"/>
      <c r="G41" s="442"/>
      <c r="H41" s="442"/>
      <c r="I41" s="442"/>
      <c r="J41" s="442"/>
      <c r="K41" s="442"/>
      <c r="L41" s="442"/>
      <c r="M41" s="443"/>
      <c r="N41" s="25"/>
    </row>
    <row r="42" spans="1:14">
      <c r="A42" s="23"/>
      <c r="B42" s="24"/>
      <c r="C42" s="24"/>
      <c r="D42" s="24"/>
      <c r="E42" s="24"/>
      <c r="F42" s="24"/>
      <c r="G42" s="24"/>
      <c r="H42" s="24"/>
      <c r="I42" s="24"/>
      <c r="J42" s="24"/>
      <c r="K42" s="24"/>
      <c r="L42" s="24"/>
      <c r="M42" s="24"/>
      <c r="N42" s="25"/>
    </row>
    <row r="43" spans="1:14" ht="15" customHeight="1">
      <c r="A43" s="23"/>
      <c r="B43" s="372" t="s">
        <v>576</v>
      </c>
      <c r="C43" s="372"/>
      <c r="D43" s="372"/>
      <c r="E43" s="372"/>
      <c r="F43" s="372"/>
      <c r="G43" s="372"/>
      <c r="H43" s="372"/>
      <c r="I43" s="372"/>
      <c r="J43" s="372"/>
      <c r="K43" s="372"/>
      <c r="L43" s="372"/>
      <c r="M43" s="372"/>
      <c r="N43" s="25"/>
    </row>
    <row r="44" spans="1:14">
      <c r="A44" s="23"/>
      <c r="B44" s="372"/>
      <c r="C44" s="372"/>
      <c r="D44" s="372"/>
      <c r="E44" s="372"/>
      <c r="F44" s="372"/>
      <c r="G44" s="372"/>
      <c r="H44" s="372"/>
      <c r="I44" s="372"/>
      <c r="J44" s="372"/>
      <c r="K44" s="372"/>
      <c r="L44" s="372"/>
      <c r="M44" s="372"/>
      <c r="N44" s="25"/>
    </row>
    <row r="45" spans="1:14" ht="15.75" thickBot="1">
      <c r="A45" s="23"/>
      <c r="B45" s="372"/>
      <c r="C45" s="372"/>
      <c r="D45" s="372"/>
      <c r="E45" s="372"/>
      <c r="F45" s="372"/>
      <c r="G45" s="372"/>
      <c r="H45" s="372"/>
      <c r="I45" s="372"/>
      <c r="J45" s="372"/>
      <c r="K45" s="372"/>
      <c r="L45" s="372"/>
      <c r="M45" s="372"/>
      <c r="N45" s="25"/>
    </row>
    <row r="46" spans="1:14">
      <c r="A46" s="23"/>
      <c r="B46" s="435"/>
      <c r="C46" s="436"/>
      <c r="D46" s="436"/>
      <c r="E46" s="436"/>
      <c r="F46" s="436"/>
      <c r="G46" s="436"/>
      <c r="H46" s="436"/>
      <c r="I46" s="436"/>
      <c r="J46" s="436"/>
      <c r="K46" s="436"/>
      <c r="L46" s="436"/>
      <c r="M46" s="437"/>
      <c r="N46" s="25"/>
    </row>
    <row r="47" spans="1:14">
      <c r="A47" s="23"/>
      <c r="B47" s="438"/>
      <c r="C47" s="439"/>
      <c r="D47" s="439"/>
      <c r="E47" s="439"/>
      <c r="F47" s="439"/>
      <c r="G47" s="439"/>
      <c r="H47" s="439"/>
      <c r="I47" s="439"/>
      <c r="J47" s="439"/>
      <c r="K47" s="439"/>
      <c r="L47" s="439"/>
      <c r="M47" s="440"/>
      <c r="N47" s="25"/>
    </row>
    <row r="48" spans="1:14">
      <c r="A48" s="23"/>
      <c r="B48" s="438"/>
      <c r="C48" s="439"/>
      <c r="D48" s="439"/>
      <c r="E48" s="439"/>
      <c r="F48" s="439"/>
      <c r="G48" s="439"/>
      <c r="H48" s="439"/>
      <c r="I48" s="439"/>
      <c r="J48" s="439"/>
      <c r="K48" s="439"/>
      <c r="L48" s="439"/>
      <c r="M48" s="440"/>
      <c r="N48" s="25"/>
    </row>
    <row r="49" spans="1:14">
      <c r="A49" s="23"/>
      <c r="B49" s="438"/>
      <c r="C49" s="439"/>
      <c r="D49" s="439"/>
      <c r="E49" s="439"/>
      <c r="F49" s="439"/>
      <c r="G49" s="439"/>
      <c r="H49" s="439"/>
      <c r="I49" s="439"/>
      <c r="J49" s="439"/>
      <c r="K49" s="439"/>
      <c r="L49" s="439"/>
      <c r="M49" s="440"/>
      <c r="N49" s="25"/>
    </row>
    <row r="50" spans="1:14">
      <c r="A50" s="23"/>
      <c r="B50" s="438"/>
      <c r="C50" s="439"/>
      <c r="D50" s="439"/>
      <c r="E50" s="439"/>
      <c r="F50" s="439"/>
      <c r="G50" s="439"/>
      <c r="H50" s="439"/>
      <c r="I50" s="439"/>
      <c r="J50" s="439"/>
      <c r="K50" s="439"/>
      <c r="L50" s="439"/>
      <c r="M50" s="440"/>
      <c r="N50" s="25"/>
    </row>
    <row r="51" spans="1:14">
      <c r="A51" s="23"/>
      <c r="B51" s="438"/>
      <c r="C51" s="439"/>
      <c r="D51" s="439"/>
      <c r="E51" s="439"/>
      <c r="F51" s="439"/>
      <c r="G51" s="439"/>
      <c r="H51" s="439"/>
      <c r="I51" s="439"/>
      <c r="J51" s="439"/>
      <c r="K51" s="439"/>
      <c r="L51" s="439"/>
      <c r="M51" s="440"/>
      <c r="N51" s="25"/>
    </row>
    <row r="52" spans="1:14" ht="15.75" thickBot="1">
      <c r="A52" s="23"/>
      <c r="B52" s="441"/>
      <c r="C52" s="442"/>
      <c r="D52" s="442"/>
      <c r="E52" s="442"/>
      <c r="F52" s="442"/>
      <c r="G52" s="442"/>
      <c r="H52" s="442"/>
      <c r="I52" s="442"/>
      <c r="J52" s="442"/>
      <c r="K52" s="442"/>
      <c r="L52" s="442"/>
      <c r="M52" s="443"/>
      <c r="N52" s="25"/>
    </row>
    <row r="53" spans="1:14">
      <c r="A53" s="23"/>
      <c r="B53" s="24"/>
      <c r="C53" s="24"/>
      <c r="D53" s="24"/>
      <c r="E53" s="24"/>
      <c r="F53" s="24"/>
      <c r="G53" s="24"/>
      <c r="H53" s="24"/>
      <c r="I53" s="24"/>
      <c r="J53" s="24"/>
      <c r="K53" s="24"/>
      <c r="L53" s="24"/>
      <c r="M53" s="24"/>
      <c r="N53" s="25"/>
    </row>
    <row r="54" spans="1:14">
      <c r="A54" s="23"/>
      <c r="B54" s="375" t="s">
        <v>578</v>
      </c>
      <c r="C54" s="375"/>
      <c r="D54" s="375"/>
      <c r="E54" s="375"/>
      <c r="F54" s="375"/>
      <c r="G54" s="375"/>
      <c r="H54" s="375"/>
      <c r="I54" s="375"/>
      <c r="J54" s="375"/>
      <c r="K54" s="375"/>
      <c r="L54" s="375"/>
      <c r="M54" s="375"/>
      <c r="N54" s="25"/>
    </row>
    <row r="55" spans="1:14">
      <c r="A55" s="23"/>
      <c r="B55" s="375"/>
      <c r="C55" s="375"/>
      <c r="D55" s="375"/>
      <c r="E55" s="375"/>
      <c r="F55" s="375"/>
      <c r="G55" s="375"/>
      <c r="H55" s="375"/>
      <c r="I55" s="375"/>
      <c r="J55" s="375"/>
      <c r="K55" s="375"/>
      <c r="L55" s="375"/>
      <c r="M55" s="375"/>
      <c r="N55" s="25"/>
    </row>
    <row r="56" spans="1:14">
      <c r="A56" s="23"/>
      <c r="B56" s="375"/>
      <c r="C56" s="375"/>
      <c r="D56" s="375"/>
      <c r="E56" s="375"/>
      <c r="F56" s="375"/>
      <c r="G56" s="375"/>
      <c r="H56" s="375"/>
      <c r="I56" s="375"/>
      <c r="J56" s="375"/>
      <c r="K56" s="375"/>
      <c r="L56" s="375"/>
      <c r="M56" s="375"/>
      <c r="N56" s="25"/>
    </row>
    <row r="57" spans="1:14">
      <c r="A57" s="23"/>
      <c r="B57" s="375"/>
      <c r="C57" s="375"/>
      <c r="D57" s="375"/>
      <c r="E57" s="375"/>
      <c r="F57" s="375"/>
      <c r="G57" s="375"/>
      <c r="H57" s="375"/>
      <c r="I57" s="375"/>
      <c r="J57" s="375"/>
      <c r="K57" s="375"/>
      <c r="L57" s="375"/>
      <c r="M57" s="375"/>
      <c r="N57" s="25"/>
    </row>
    <row r="58" spans="1:14" ht="15.75" thickBot="1">
      <c r="A58" s="23"/>
      <c r="B58" s="375"/>
      <c r="C58" s="375"/>
      <c r="D58" s="375"/>
      <c r="E58" s="375"/>
      <c r="F58" s="375"/>
      <c r="G58" s="375"/>
      <c r="H58" s="375"/>
      <c r="I58" s="375"/>
      <c r="J58" s="375"/>
      <c r="K58" s="375"/>
      <c r="L58" s="375"/>
      <c r="M58" s="375"/>
      <c r="N58" s="25"/>
    </row>
    <row r="59" spans="1:14">
      <c r="A59" s="23"/>
      <c r="B59" s="435"/>
      <c r="C59" s="436"/>
      <c r="D59" s="436"/>
      <c r="E59" s="436"/>
      <c r="F59" s="436"/>
      <c r="G59" s="436"/>
      <c r="H59" s="436"/>
      <c r="I59" s="436"/>
      <c r="J59" s="436"/>
      <c r="K59" s="436"/>
      <c r="L59" s="436"/>
      <c r="M59" s="437"/>
      <c r="N59" s="25"/>
    </row>
    <row r="60" spans="1:14">
      <c r="A60" s="23"/>
      <c r="B60" s="438"/>
      <c r="C60" s="439"/>
      <c r="D60" s="439"/>
      <c r="E60" s="439"/>
      <c r="F60" s="439"/>
      <c r="G60" s="439"/>
      <c r="H60" s="439"/>
      <c r="I60" s="439"/>
      <c r="J60" s="439"/>
      <c r="K60" s="439"/>
      <c r="L60" s="439"/>
      <c r="M60" s="440"/>
      <c r="N60" s="25"/>
    </row>
    <row r="61" spans="1:14">
      <c r="A61" s="23"/>
      <c r="B61" s="438"/>
      <c r="C61" s="439"/>
      <c r="D61" s="439"/>
      <c r="E61" s="439"/>
      <c r="F61" s="439"/>
      <c r="G61" s="439"/>
      <c r="H61" s="439"/>
      <c r="I61" s="439"/>
      <c r="J61" s="439"/>
      <c r="K61" s="439"/>
      <c r="L61" s="439"/>
      <c r="M61" s="440"/>
      <c r="N61" s="25"/>
    </row>
    <row r="62" spans="1:14">
      <c r="A62" s="23"/>
      <c r="B62" s="438"/>
      <c r="C62" s="439"/>
      <c r="D62" s="439"/>
      <c r="E62" s="439"/>
      <c r="F62" s="439"/>
      <c r="G62" s="439"/>
      <c r="H62" s="439"/>
      <c r="I62" s="439"/>
      <c r="J62" s="439"/>
      <c r="K62" s="439"/>
      <c r="L62" s="439"/>
      <c r="M62" s="440"/>
      <c r="N62" s="25"/>
    </row>
    <row r="63" spans="1:14">
      <c r="A63" s="23"/>
      <c r="B63" s="438"/>
      <c r="C63" s="439"/>
      <c r="D63" s="439"/>
      <c r="E63" s="439"/>
      <c r="F63" s="439"/>
      <c r="G63" s="439"/>
      <c r="H63" s="439"/>
      <c r="I63" s="439"/>
      <c r="J63" s="439"/>
      <c r="K63" s="439"/>
      <c r="L63" s="439"/>
      <c r="M63" s="440"/>
      <c r="N63" s="25"/>
    </row>
    <row r="64" spans="1:14">
      <c r="A64" s="23"/>
      <c r="B64" s="438"/>
      <c r="C64" s="439"/>
      <c r="D64" s="439"/>
      <c r="E64" s="439"/>
      <c r="F64" s="439"/>
      <c r="G64" s="439"/>
      <c r="H64" s="439"/>
      <c r="I64" s="439"/>
      <c r="J64" s="439"/>
      <c r="K64" s="439"/>
      <c r="L64" s="439"/>
      <c r="M64" s="440"/>
      <c r="N64" s="25"/>
    </row>
    <row r="65" spans="1:14" ht="15.75" thickBot="1">
      <c r="A65" s="23"/>
      <c r="B65" s="441"/>
      <c r="C65" s="442"/>
      <c r="D65" s="442"/>
      <c r="E65" s="442"/>
      <c r="F65" s="442"/>
      <c r="G65" s="442"/>
      <c r="H65" s="442"/>
      <c r="I65" s="442"/>
      <c r="J65" s="442"/>
      <c r="K65" s="442"/>
      <c r="L65" s="442"/>
      <c r="M65" s="443"/>
      <c r="N65" s="25"/>
    </row>
    <row r="66" spans="1:14">
      <c r="A66" s="23"/>
      <c r="B66" s="24"/>
      <c r="C66" s="24"/>
      <c r="D66" s="24"/>
      <c r="E66" s="24"/>
      <c r="F66" s="24"/>
      <c r="G66" s="24"/>
      <c r="H66" s="24"/>
      <c r="I66" s="24"/>
      <c r="J66" s="24"/>
      <c r="K66" s="24"/>
      <c r="L66" s="24"/>
      <c r="M66" s="24"/>
      <c r="N66" s="25"/>
    </row>
    <row r="67" spans="1:14">
      <c r="A67" s="23"/>
      <c r="B67" s="375" t="s">
        <v>579</v>
      </c>
      <c r="C67" s="375"/>
      <c r="D67" s="375"/>
      <c r="E67" s="375"/>
      <c r="F67" s="375"/>
      <c r="G67" s="375"/>
      <c r="H67" s="375"/>
      <c r="I67" s="375"/>
      <c r="J67" s="375"/>
      <c r="K67" s="375"/>
      <c r="L67" s="375"/>
      <c r="M67" s="375"/>
      <c r="N67" s="25"/>
    </row>
    <row r="68" spans="1:14" ht="15.75" thickBot="1">
      <c r="A68" s="23"/>
      <c r="B68" s="375"/>
      <c r="C68" s="375"/>
      <c r="D68" s="375"/>
      <c r="E68" s="375"/>
      <c r="F68" s="375"/>
      <c r="G68" s="375"/>
      <c r="H68" s="375"/>
      <c r="I68" s="375"/>
      <c r="J68" s="375"/>
      <c r="K68" s="375"/>
      <c r="L68" s="375"/>
      <c r="M68" s="375"/>
      <c r="N68" s="25"/>
    </row>
    <row r="69" spans="1:14">
      <c r="A69" s="23"/>
      <c r="B69" s="435"/>
      <c r="C69" s="436"/>
      <c r="D69" s="436"/>
      <c r="E69" s="436"/>
      <c r="F69" s="436"/>
      <c r="G69" s="436"/>
      <c r="H69" s="436"/>
      <c r="I69" s="436"/>
      <c r="J69" s="436"/>
      <c r="K69" s="436"/>
      <c r="L69" s="436"/>
      <c r="M69" s="437"/>
      <c r="N69" s="25"/>
    </row>
    <row r="70" spans="1:14">
      <c r="A70" s="23"/>
      <c r="B70" s="438"/>
      <c r="C70" s="439"/>
      <c r="D70" s="439"/>
      <c r="E70" s="439"/>
      <c r="F70" s="439"/>
      <c r="G70" s="439"/>
      <c r="H70" s="439"/>
      <c r="I70" s="439"/>
      <c r="J70" s="439"/>
      <c r="K70" s="439"/>
      <c r="L70" s="439"/>
      <c r="M70" s="440"/>
      <c r="N70" s="25"/>
    </row>
    <row r="71" spans="1:14">
      <c r="A71" s="23"/>
      <c r="B71" s="438"/>
      <c r="C71" s="439"/>
      <c r="D71" s="439"/>
      <c r="E71" s="439"/>
      <c r="F71" s="439"/>
      <c r="G71" s="439"/>
      <c r="H71" s="439"/>
      <c r="I71" s="439"/>
      <c r="J71" s="439"/>
      <c r="K71" s="439"/>
      <c r="L71" s="439"/>
      <c r="M71" s="440"/>
      <c r="N71" s="25"/>
    </row>
    <row r="72" spans="1:14">
      <c r="A72" s="23"/>
      <c r="B72" s="438"/>
      <c r="C72" s="439"/>
      <c r="D72" s="439"/>
      <c r="E72" s="439"/>
      <c r="F72" s="439"/>
      <c r="G72" s="439"/>
      <c r="H72" s="439"/>
      <c r="I72" s="439"/>
      <c r="J72" s="439"/>
      <c r="K72" s="439"/>
      <c r="L72" s="439"/>
      <c r="M72" s="440"/>
      <c r="N72" s="25"/>
    </row>
    <row r="73" spans="1:14">
      <c r="A73" s="23"/>
      <c r="B73" s="438"/>
      <c r="C73" s="439"/>
      <c r="D73" s="439"/>
      <c r="E73" s="439"/>
      <c r="F73" s="439"/>
      <c r="G73" s="439"/>
      <c r="H73" s="439"/>
      <c r="I73" s="439"/>
      <c r="J73" s="439"/>
      <c r="K73" s="439"/>
      <c r="L73" s="439"/>
      <c r="M73" s="440"/>
      <c r="N73" s="25"/>
    </row>
    <row r="74" spans="1:14">
      <c r="A74" s="23"/>
      <c r="B74" s="438"/>
      <c r="C74" s="439"/>
      <c r="D74" s="439"/>
      <c r="E74" s="439"/>
      <c r="F74" s="439"/>
      <c r="G74" s="439"/>
      <c r="H74" s="439"/>
      <c r="I74" s="439"/>
      <c r="J74" s="439"/>
      <c r="K74" s="439"/>
      <c r="L74" s="439"/>
      <c r="M74" s="440"/>
      <c r="N74" s="25"/>
    </row>
    <row r="75" spans="1:14" ht="15.75" thickBot="1">
      <c r="A75" s="23"/>
      <c r="B75" s="441"/>
      <c r="C75" s="442"/>
      <c r="D75" s="442"/>
      <c r="E75" s="442"/>
      <c r="F75" s="442"/>
      <c r="G75" s="442"/>
      <c r="H75" s="442"/>
      <c r="I75" s="442"/>
      <c r="J75" s="442"/>
      <c r="K75" s="442"/>
      <c r="L75" s="442"/>
      <c r="M75" s="443"/>
      <c r="N75" s="25"/>
    </row>
    <row r="76" spans="1:14" ht="15.75" thickBot="1">
      <c r="A76" s="27"/>
      <c r="B76" s="28"/>
      <c r="C76" s="28"/>
      <c r="D76" s="28"/>
      <c r="E76" s="28"/>
      <c r="F76" s="28"/>
      <c r="G76" s="28"/>
      <c r="H76" s="28"/>
      <c r="I76" s="28"/>
      <c r="J76" s="28"/>
      <c r="K76" s="28"/>
      <c r="L76" s="28"/>
      <c r="M76" s="28"/>
      <c r="N76" s="29"/>
    </row>
    <row r="77" spans="1:14" ht="18.75">
      <c r="A77" s="30"/>
      <c r="B77" s="31" t="s">
        <v>580</v>
      </c>
      <c r="C77" s="32"/>
      <c r="D77" s="32"/>
      <c r="E77" s="32"/>
      <c r="F77" s="32"/>
      <c r="G77" s="32"/>
      <c r="H77" s="32"/>
      <c r="I77" s="32"/>
      <c r="J77" s="32"/>
      <c r="K77" s="32"/>
      <c r="L77" s="32"/>
      <c r="M77" s="32"/>
      <c r="N77" s="33"/>
    </row>
    <row r="78" spans="1:14">
      <c r="A78" s="34"/>
      <c r="B78" s="459" t="s">
        <v>581</v>
      </c>
      <c r="C78" s="459"/>
      <c r="D78" s="459"/>
      <c r="E78" s="459"/>
      <c r="F78" s="459"/>
      <c r="G78" s="459"/>
      <c r="H78" s="459"/>
      <c r="I78" s="459"/>
      <c r="J78" s="459"/>
      <c r="K78" s="459"/>
      <c r="L78" s="459"/>
      <c r="M78" s="459"/>
      <c r="N78" s="36"/>
    </row>
    <row r="79" spans="1:14">
      <c r="A79" s="34"/>
      <c r="B79" s="459"/>
      <c r="C79" s="459"/>
      <c r="D79" s="459"/>
      <c r="E79" s="459"/>
      <c r="F79" s="459"/>
      <c r="G79" s="459"/>
      <c r="H79" s="459"/>
      <c r="I79" s="459"/>
      <c r="J79" s="459"/>
      <c r="K79" s="459"/>
      <c r="L79" s="459"/>
      <c r="M79" s="459"/>
      <c r="N79" s="36"/>
    </row>
    <row r="80" spans="1:14" ht="15.75" thickBot="1">
      <c r="A80" s="34"/>
      <c r="B80" s="459"/>
      <c r="C80" s="459"/>
      <c r="D80" s="459"/>
      <c r="E80" s="459"/>
      <c r="F80" s="459"/>
      <c r="G80" s="459"/>
      <c r="H80" s="459"/>
      <c r="I80" s="459"/>
      <c r="J80" s="459"/>
      <c r="K80" s="459"/>
      <c r="L80" s="459"/>
      <c r="M80" s="459"/>
      <c r="N80" s="36"/>
    </row>
    <row r="81" spans="1:14">
      <c r="A81" s="34"/>
      <c r="B81" s="435"/>
      <c r="C81" s="436"/>
      <c r="D81" s="436"/>
      <c r="E81" s="436"/>
      <c r="F81" s="436"/>
      <c r="G81" s="436"/>
      <c r="H81" s="436"/>
      <c r="I81" s="436"/>
      <c r="J81" s="436"/>
      <c r="K81" s="436"/>
      <c r="L81" s="436"/>
      <c r="M81" s="437"/>
      <c r="N81" s="36"/>
    </row>
    <row r="82" spans="1:14">
      <c r="A82" s="34"/>
      <c r="B82" s="438"/>
      <c r="C82" s="439"/>
      <c r="D82" s="439"/>
      <c r="E82" s="439"/>
      <c r="F82" s="439"/>
      <c r="G82" s="439"/>
      <c r="H82" s="439"/>
      <c r="I82" s="439"/>
      <c r="J82" s="439"/>
      <c r="K82" s="439"/>
      <c r="L82" s="439"/>
      <c r="M82" s="440"/>
      <c r="N82" s="36"/>
    </row>
    <row r="83" spans="1:14">
      <c r="A83" s="34"/>
      <c r="B83" s="438"/>
      <c r="C83" s="439"/>
      <c r="D83" s="439"/>
      <c r="E83" s="439"/>
      <c r="F83" s="439"/>
      <c r="G83" s="439"/>
      <c r="H83" s="439"/>
      <c r="I83" s="439"/>
      <c r="J83" s="439"/>
      <c r="K83" s="439"/>
      <c r="L83" s="439"/>
      <c r="M83" s="440"/>
      <c r="N83" s="36"/>
    </row>
    <row r="84" spans="1:14">
      <c r="A84" s="34"/>
      <c r="B84" s="438"/>
      <c r="C84" s="439"/>
      <c r="D84" s="439"/>
      <c r="E84" s="439"/>
      <c r="F84" s="439"/>
      <c r="G84" s="439"/>
      <c r="H84" s="439"/>
      <c r="I84" s="439"/>
      <c r="J84" s="439"/>
      <c r="K84" s="439"/>
      <c r="L84" s="439"/>
      <c r="M84" s="440"/>
      <c r="N84" s="36"/>
    </row>
    <row r="85" spans="1:14">
      <c r="A85" s="34"/>
      <c r="B85" s="438"/>
      <c r="C85" s="439"/>
      <c r="D85" s="439"/>
      <c r="E85" s="439"/>
      <c r="F85" s="439"/>
      <c r="G85" s="439"/>
      <c r="H85" s="439"/>
      <c r="I85" s="439"/>
      <c r="J85" s="439"/>
      <c r="K85" s="439"/>
      <c r="L85" s="439"/>
      <c r="M85" s="440"/>
      <c r="N85" s="36"/>
    </row>
    <row r="86" spans="1:14">
      <c r="A86" s="34"/>
      <c r="B86" s="438"/>
      <c r="C86" s="439"/>
      <c r="D86" s="439"/>
      <c r="E86" s="439"/>
      <c r="F86" s="439"/>
      <c r="G86" s="439"/>
      <c r="H86" s="439"/>
      <c r="I86" s="439"/>
      <c r="J86" s="439"/>
      <c r="K86" s="439"/>
      <c r="L86" s="439"/>
      <c r="M86" s="440"/>
      <c r="N86" s="36"/>
    </row>
    <row r="87" spans="1:14" ht="15.75" thickBot="1">
      <c r="A87" s="34"/>
      <c r="B87" s="441"/>
      <c r="C87" s="442"/>
      <c r="D87" s="442"/>
      <c r="E87" s="442"/>
      <c r="F87" s="442"/>
      <c r="G87" s="442"/>
      <c r="H87" s="442"/>
      <c r="I87" s="442"/>
      <c r="J87" s="442"/>
      <c r="K87" s="442"/>
      <c r="L87" s="442"/>
      <c r="M87" s="443"/>
      <c r="N87" s="36"/>
    </row>
    <row r="88" spans="1:14" ht="15.75" thickBot="1">
      <c r="A88" s="37"/>
      <c r="B88" s="38"/>
      <c r="C88" s="38"/>
      <c r="D88" s="38"/>
      <c r="E88" s="38"/>
      <c r="F88" s="38"/>
      <c r="G88" s="38"/>
      <c r="H88" s="38"/>
      <c r="I88" s="38"/>
      <c r="J88" s="38"/>
      <c r="K88" s="38"/>
      <c r="L88" s="38"/>
      <c r="M88" s="38"/>
      <c r="N88" s="39"/>
    </row>
    <row r="89" spans="1:14" ht="18.75">
      <c r="A89" s="19"/>
      <c r="B89" s="20" t="s">
        <v>582</v>
      </c>
      <c r="C89" s="21"/>
      <c r="D89" s="21"/>
      <c r="E89" s="21"/>
      <c r="F89" s="21"/>
      <c r="G89" s="21"/>
      <c r="H89" s="21"/>
      <c r="I89" s="21"/>
      <c r="J89" s="21"/>
      <c r="K89" s="21"/>
      <c r="L89" s="21"/>
      <c r="M89" s="21"/>
      <c r="N89" s="22"/>
    </row>
    <row r="90" spans="1:14">
      <c r="A90" s="23"/>
      <c r="B90" s="375" t="s">
        <v>583</v>
      </c>
      <c r="C90" s="375"/>
      <c r="D90" s="375"/>
      <c r="E90" s="375"/>
      <c r="F90" s="375"/>
      <c r="G90" s="375"/>
      <c r="H90" s="375"/>
      <c r="I90" s="375"/>
      <c r="J90" s="375"/>
      <c r="K90" s="375"/>
      <c r="L90" s="375"/>
      <c r="M90" s="375"/>
      <c r="N90" s="25"/>
    </row>
    <row r="91" spans="1:14">
      <c r="A91" s="23"/>
      <c r="B91" s="375"/>
      <c r="C91" s="375"/>
      <c r="D91" s="375"/>
      <c r="E91" s="375"/>
      <c r="F91" s="375"/>
      <c r="G91" s="375"/>
      <c r="H91" s="375"/>
      <c r="I91" s="375"/>
      <c r="J91" s="375"/>
      <c r="K91" s="375"/>
      <c r="L91" s="375"/>
      <c r="M91" s="375"/>
      <c r="N91" s="25"/>
    </row>
    <row r="92" spans="1:14">
      <c r="A92" s="23"/>
      <c r="B92" s="375"/>
      <c r="C92" s="375"/>
      <c r="D92" s="375"/>
      <c r="E92" s="375"/>
      <c r="F92" s="375"/>
      <c r="G92" s="375"/>
      <c r="H92" s="375"/>
      <c r="I92" s="375"/>
      <c r="J92" s="375"/>
      <c r="K92" s="375"/>
      <c r="L92" s="375"/>
      <c r="M92" s="375"/>
      <c r="N92" s="25"/>
    </row>
    <row r="93" spans="1:14">
      <c r="A93" s="23"/>
      <c r="B93" s="375"/>
      <c r="C93" s="375"/>
      <c r="D93" s="375"/>
      <c r="E93" s="375"/>
      <c r="F93" s="375"/>
      <c r="G93" s="375"/>
      <c r="H93" s="375"/>
      <c r="I93" s="375"/>
      <c r="J93" s="375"/>
      <c r="K93" s="375"/>
      <c r="L93" s="375"/>
      <c r="M93" s="375"/>
      <c r="N93" s="25"/>
    </row>
    <row r="94" spans="1:14" ht="15.75" thickBot="1">
      <c r="A94" s="23"/>
      <c r="B94" s="375"/>
      <c r="C94" s="375"/>
      <c r="D94" s="375"/>
      <c r="E94" s="375"/>
      <c r="F94" s="375"/>
      <c r="G94" s="375"/>
      <c r="H94" s="375"/>
      <c r="I94" s="375"/>
      <c r="J94" s="375"/>
      <c r="K94" s="375"/>
      <c r="L94" s="375"/>
      <c r="M94" s="375"/>
      <c r="N94" s="25"/>
    </row>
    <row r="95" spans="1:14">
      <c r="A95" s="23"/>
      <c r="B95" s="435"/>
      <c r="C95" s="436"/>
      <c r="D95" s="436"/>
      <c r="E95" s="436"/>
      <c r="F95" s="436"/>
      <c r="G95" s="436"/>
      <c r="H95" s="436"/>
      <c r="I95" s="436"/>
      <c r="J95" s="436"/>
      <c r="K95" s="436"/>
      <c r="L95" s="436"/>
      <c r="M95" s="437"/>
      <c r="N95" s="25"/>
    </row>
    <row r="96" spans="1:14">
      <c r="A96" s="23"/>
      <c r="B96" s="438"/>
      <c r="C96" s="439"/>
      <c r="D96" s="439"/>
      <c r="E96" s="439"/>
      <c r="F96" s="439"/>
      <c r="G96" s="439"/>
      <c r="H96" s="439"/>
      <c r="I96" s="439"/>
      <c r="J96" s="439"/>
      <c r="K96" s="439"/>
      <c r="L96" s="439"/>
      <c r="M96" s="440"/>
      <c r="N96" s="25"/>
    </row>
    <row r="97" spans="1:14">
      <c r="A97" s="23"/>
      <c r="B97" s="438"/>
      <c r="C97" s="439"/>
      <c r="D97" s="439"/>
      <c r="E97" s="439"/>
      <c r="F97" s="439"/>
      <c r="G97" s="439"/>
      <c r="H97" s="439"/>
      <c r="I97" s="439"/>
      <c r="J97" s="439"/>
      <c r="K97" s="439"/>
      <c r="L97" s="439"/>
      <c r="M97" s="440"/>
      <c r="N97" s="25"/>
    </row>
    <row r="98" spans="1:14">
      <c r="A98" s="23"/>
      <c r="B98" s="438"/>
      <c r="C98" s="439"/>
      <c r="D98" s="439"/>
      <c r="E98" s="439"/>
      <c r="F98" s="439"/>
      <c r="G98" s="439"/>
      <c r="H98" s="439"/>
      <c r="I98" s="439"/>
      <c r="J98" s="439"/>
      <c r="K98" s="439"/>
      <c r="L98" s="439"/>
      <c r="M98" s="440"/>
      <c r="N98" s="25"/>
    </row>
    <row r="99" spans="1:14">
      <c r="A99" s="23"/>
      <c r="B99" s="438"/>
      <c r="C99" s="439"/>
      <c r="D99" s="439"/>
      <c r="E99" s="439"/>
      <c r="F99" s="439"/>
      <c r="G99" s="439"/>
      <c r="H99" s="439"/>
      <c r="I99" s="439"/>
      <c r="J99" s="439"/>
      <c r="K99" s="439"/>
      <c r="L99" s="439"/>
      <c r="M99" s="440"/>
      <c r="N99" s="25"/>
    </row>
    <row r="100" spans="1:14">
      <c r="A100" s="23"/>
      <c r="B100" s="438"/>
      <c r="C100" s="439"/>
      <c r="D100" s="439"/>
      <c r="E100" s="439"/>
      <c r="F100" s="439"/>
      <c r="G100" s="439"/>
      <c r="H100" s="439"/>
      <c r="I100" s="439"/>
      <c r="J100" s="439"/>
      <c r="K100" s="439"/>
      <c r="L100" s="439"/>
      <c r="M100" s="440"/>
      <c r="N100" s="25"/>
    </row>
    <row r="101" spans="1:14" ht="15.75" thickBot="1">
      <c r="A101" s="23"/>
      <c r="B101" s="441"/>
      <c r="C101" s="442"/>
      <c r="D101" s="442"/>
      <c r="E101" s="442"/>
      <c r="F101" s="442"/>
      <c r="G101" s="442"/>
      <c r="H101" s="442"/>
      <c r="I101" s="442"/>
      <c r="J101" s="442"/>
      <c r="K101" s="442"/>
      <c r="L101" s="442"/>
      <c r="M101" s="443"/>
      <c r="N101" s="25"/>
    </row>
    <row r="102" spans="1:14" ht="15.75" thickBot="1">
      <c r="A102" s="27"/>
      <c r="B102" s="28"/>
      <c r="C102" s="28"/>
      <c r="D102" s="28"/>
      <c r="E102" s="28"/>
      <c r="F102" s="28"/>
      <c r="G102" s="28"/>
      <c r="H102" s="28"/>
      <c r="I102" s="28"/>
      <c r="J102" s="28"/>
      <c r="K102" s="28"/>
      <c r="L102" s="28"/>
      <c r="M102" s="28"/>
      <c r="N102" s="29"/>
    </row>
    <row r="103" spans="1:14" ht="19.5" thickBot="1">
      <c r="A103" s="30"/>
      <c r="B103" s="31" t="s">
        <v>584</v>
      </c>
      <c r="C103" s="32"/>
      <c r="D103" s="32"/>
      <c r="E103" s="32"/>
      <c r="F103" s="32"/>
      <c r="G103" s="32"/>
      <c r="H103" s="32"/>
      <c r="I103" s="32"/>
      <c r="J103" s="32"/>
      <c r="K103" s="32"/>
      <c r="L103" s="32"/>
      <c r="M103" s="32"/>
      <c r="N103" s="33"/>
    </row>
    <row r="104" spans="1:14" ht="15" customHeight="1">
      <c r="A104" s="34"/>
      <c r="B104" s="444" t="s">
        <v>585</v>
      </c>
      <c r="C104" s="445"/>
      <c r="D104" s="445"/>
      <c r="E104" s="445"/>
      <c r="F104" s="445"/>
      <c r="G104" s="445"/>
      <c r="H104" s="450" t="s">
        <v>586</v>
      </c>
      <c r="I104" s="451"/>
      <c r="J104" s="450" t="s">
        <v>587</v>
      </c>
      <c r="K104" s="451"/>
      <c r="L104" s="450" t="s">
        <v>588</v>
      </c>
      <c r="M104" s="456"/>
      <c r="N104" s="36"/>
    </row>
    <row r="105" spans="1:14">
      <c r="A105" s="34"/>
      <c r="B105" s="446"/>
      <c r="C105" s="447"/>
      <c r="D105" s="447"/>
      <c r="E105" s="447"/>
      <c r="F105" s="447"/>
      <c r="G105" s="447"/>
      <c r="H105" s="452"/>
      <c r="I105" s="453"/>
      <c r="J105" s="452"/>
      <c r="K105" s="453"/>
      <c r="L105" s="452"/>
      <c r="M105" s="457"/>
      <c r="N105" s="36"/>
    </row>
    <row r="106" spans="1:14" ht="15.75" thickBot="1">
      <c r="A106" s="34"/>
      <c r="B106" s="448"/>
      <c r="C106" s="449"/>
      <c r="D106" s="449"/>
      <c r="E106" s="449"/>
      <c r="F106" s="449"/>
      <c r="G106" s="449"/>
      <c r="H106" s="454"/>
      <c r="I106" s="455"/>
      <c r="J106" s="454"/>
      <c r="K106" s="455"/>
      <c r="L106" s="454"/>
      <c r="M106" s="458"/>
      <c r="N106" s="36"/>
    </row>
    <row r="107" spans="1:14">
      <c r="A107" s="34"/>
      <c r="B107" s="236"/>
      <c r="C107" s="237"/>
      <c r="D107" s="237"/>
      <c r="E107" s="237"/>
      <c r="F107" s="237"/>
      <c r="G107" s="244"/>
      <c r="H107" s="249" t="s">
        <v>589</v>
      </c>
      <c r="I107" s="244"/>
      <c r="J107" s="249" t="s">
        <v>591</v>
      </c>
      <c r="K107" s="244"/>
      <c r="L107" s="249" t="s">
        <v>593</v>
      </c>
      <c r="M107" s="244"/>
      <c r="N107" s="36"/>
    </row>
    <row r="108" spans="1:14">
      <c r="A108" s="34"/>
      <c r="B108" s="239"/>
      <c r="C108" s="45"/>
      <c r="D108" s="45"/>
      <c r="E108" s="45"/>
      <c r="F108" s="45"/>
      <c r="G108" s="245"/>
      <c r="H108" s="250" t="s">
        <v>590</v>
      </c>
      <c r="I108" s="245"/>
      <c r="J108" s="250" t="s">
        <v>592</v>
      </c>
      <c r="K108" s="245"/>
      <c r="L108" s="250" t="s">
        <v>594</v>
      </c>
      <c r="M108" s="245"/>
      <c r="N108" s="36"/>
    </row>
    <row r="109" spans="1:14">
      <c r="A109" s="34"/>
      <c r="B109" s="239"/>
      <c r="C109" s="45"/>
      <c r="D109" s="45"/>
      <c r="E109" s="45"/>
      <c r="F109" s="45"/>
      <c r="G109" s="245"/>
      <c r="H109" s="247"/>
      <c r="I109" s="245"/>
      <c r="J109" s="247"/>
      <c r="K109" s="245"/>
      <c r="L109" s="247"/>
      <c r="M109" s="245"/>
      <c r="N109" s="36"/>
    </row>
    <row r="110" spans="1:14">
      <c r="A110" s="34"/>
      <c r="B110" s="239"/>
      <c r="C110" s="45"/>
      <c r="D110" s="45"/>
      <c r="E110" s="45"/>
      <c r="F110" s="45"/>
      <c r="G110" s="245"/>
      <c r="H110" s="247"/>
      <c r="I110" s="245"/>
      <c r="J110" s="247"/>
      <c r="K110" s="245"/>
      <c r="L110" s="247"/>
      <c r="M110" s="245"/>
      <c r="N110" s="36"/>
    </row>
    <row r="111" spans="1:14">
      <c r="A111" s="34"/>
      <c r="B111" s="239"/>
      <c r="C111" s="45"/>
      <c r="D111" s="45"/>
      <c r="E111" s="45"/>
      <c r="F111" s="45"/>
      <c r="G111" s="245"/>
      <c r="H111" s="247"/>
      <c r="I111" s="245"/>
      <c r="J111" s="247"/>
      <c r="K111" s="245"/>
      <c r="L111" s="247"/>
      <c r="M111" s="245"/>
      <c r="N111" s="36"/>
    </row>
    <row r="112" spans="1:14">
      <c r="A112" s="34"/>
      <c r="B112" s="239"/>
      <c r="C112" s="45"/>
      <c r="D112" s="45"/>
      <c r="E112" s="45"/>
      <c r="F112" s="45"/>
      <c r="G112" s="245"/>
      <c r="H112" s="247"/>
      <c r="I112" s="245"/>
      <c r="J112" s="247"/>
      <c r="K112" s="245"/>
      <c r="L112" s="247"/>
      <c r="M112" s="245"/>
      <c r="N112" s="36"/>
    </row>
    <row r="113" spans="1:14">
      <c r="A113" s="34"/>
      <c r="B113" s="239"/>
      <c r="C113" s="45"/>
      <c r="D113" s="45"/>
      <c r="E113" s="45"/>
      <c r="F113" s="45"/>
      <c r="G113" s="245"/>
      <c r="H113" s="247"/>
      <c r="I113" s="245"/>
      <c r="J113" s="247"/>
      <c r="K113" s="245"/>
      <c r="L113" s="247"/>
      <c r="M113" s="245"/>
      <c r="N113" s="36"/>
    </row>
    <row r="114" spans="1:14">
      <c r="A114" s="34"/>
      <c r="B114" s="239"/>
      <c r="C114" s="45"/>
      <c r="D114" s="45"/>
      <c r="E114" s="45"/>
      <c r="F114" s="45"/>
      <c r="G114" s="245"/>
      <c r="H114" s="247"/>
      <c r="I114" s="245"/>
      <c r="J114" s="247"/>
      <c r="K114" s="245"/>
      <c r="L114" s="247"/>
      <c r="M114" s="245"/>
      <c r="N114" s="36"/>
    </row>
    <row r="115" spans="1:14">
      <c r="A115" s="34"/>
      <c r="B115" s="239"/>
      <c r="C115" s="45"/>
      <c r="D115" s="45"/>
      <c r="E115" s="45"/>
      <c r="F115" s="45"/>
      <c r="G115" s="245"/>
      <c r="H115" s="247"/>
      <c r="I115" s="245"/>
      <c r="J115" s="247"/>
      <c r="K115" s="245"/>
      <c r="L115" s="247"/>
      <c r="M115" s="245"/>
      <c r="N115" s="36"/>
    </row>
    <row r="116" spans="1:14">
      <c r="A116" s="34"/>
      <c r="B116" s="239"/>
      <c r="C116" s="45"/>
      <c r="D116" s="45"/>
      <c r="E116" s="45"/>
      <c r="F116" s="45"/>
      <c r="G116" s="245"/>
      <c r="H116" s="247"/>
      <c r="I116" s="245"/>
      <c r="J116" s="247"/>
      <c r="K116" s="245"/>
      <c r="L116" s="247"/>
      <c r="M116" s="245"/>
      <c r="N116" s="36"/>
    </row>
    <row r="117" spans="1:14">
      <c r="A117" s="34"/>
      <c r="B117" s="239"/>
      <c r="C117" s="45"/>
      <c r="D117" s="45"/>
      <c r="E117" s="45"/>
      <c r="F117" s="45"/>
      <c r="G117" s="245"/>
      <c r="H117" s="247"/>
      <c r="I117" s="245"/>
      <c r="J117" s="247"/>
      <c r="K117" s="245"/>
      <c r="L117" s="247"/>
      <c r="M117" s="245"/>
      <c r="N117" s="36"/>
    </row>
    <row r="118" spans="1:14">
      <c r="A118" s="34"/>
      <c r="B118" s="239"/>
      <c r="C118" s="45"/>
      <c r="D118" s="45"/>
      <c r="E118" s="45"/>
      <c r="F118" s="45"/>
      <c r="G118" s="245"/>
      <c r="H118" s="247"/>
      <c r="I118" s="245"/>
      <c r="J118" s="247"/>
      <c r="K118" s="245"/>
      <c r="L118" s="247"/>
      <c r="M118" s="245"/>
      <c r="N118" s="36"/>
    </row>
    <row r="119" spans="1:14" ht="15.75" thickBot="1">
      <c r="A119" s="34"/>
      <c r="B119" s="241"/>
      <c r="C119" s="242"/>
      <c r="D119" s="242"/>
      <c r="E119" s="242"/>
      <c r="F119" s="242"/>
      <c r="G119" s="246"/>
      <c r="H119" s="248"/>
      <c r="I119" s="246"/>
      <c r="J119" s="248"/>
      <c r="K119" s="246"/>
      <c r="L119" s="248"/>
      <c r="M119" s="246"/>
      <c r="N119" s="36"/>
    </row>
    <row r="120" spans="1:14" ht="15.75" thickBot="1">
      <c r="A120" s="37"/>
      <c r="B120" s="38"/>
      <c r="C120" s="38"/>
      <c r="D120" s="38"/>
      <c r="E120" s="38"/>
      <c r="F120" s="38"/>
      <c r="G120" s="38"/>
      <c r="H120" s="38"/>
      <c r="I120" s="38"/>
      <c r="J120" s="38"/>
      <c r="K120" s="38"/>
      <c r="L120" s="38"/>
      <c r="M120" s="38"/>
      <c r="N120" s="39"/>
    </row>
    <row r="121" spans="1:14" ht="18.75">
      <c r="A121" s="19"/>
      <c r="B121" s="20" t="s">
        <v>595</v>
      </c>
      <c r="C121" s="21"/>
      <c r="D121" s="21"/>
      <c r="E121" s="21"/>
      <c r="F121" s="21"/>
      <c r="G121" s="21"/>
      <c r="H121" s="21"/>
      <c r="I121" s="21"/>
      <c r="J121" s="21"/>
      <c r="K121" s="21"/>
      <c r="L121" s="21"/>
      <c r="M121" s="21"/>
      <c r="N121" s="22"/>
    </row>
    <row r="122" spans="1:14">
      <c r="A122" s="23"/>
      <c r="B122" s="24" t="s">
        <v>596</v>
      </c>
      <c r="C122" s="24"/>
      <c r="D122" s="24"/>
      <c r="E122" s="24"/>
      <c r="F122" s="24"/>
      <c r="G122" s="24"/>
      <c r="H122" s="24"/>
      <c r="I122" s="24"/>
      <c r="J122" s="24"/>
      <c r="K122" s="24"/>
      <c r="L122" s="24"/>
      <c r="M122" s="24"/>
      <c r="N122" s="25"/>
    </row>
    <row r="123" spans="1:14" ht="15.75" thickBot="1">
      <c r="A123" s="23"/>
      <c r="B123" s="259" t="s">
        <v>599</v>
      </c>
      <c r="C123" s="260"/>
      <c r="D123" s="261" t="s">
        <v>597</v>
      </c>
      <c r="E123" s="261"/>
      <c r="F123" s="261"/>
      <c r="G123" s="260"/>
      <c r="H123" s="432" t="s">
        <v>598</v>
      </c>
      <c r="I123" s="433"/>
      <c r="J123" s="434" t="s">
        <v>606</v>
      </c>
      <c r="K123" s="433"/>
      <c r="L123" s="432" t="s">
        <v>600</v>
      </c>
      <c r="M123" s="433"/>
      <c r="N123" s="25"/>
    </row>
    <row r="124" spans="1:14">
      <c r="A124" s="23"/>
      <c r="B124" s="236"/>
      <c r="C124" s="253"/>
      <c r="D124" s="237"/>
      <c r="E124" s="237"/>
      <c r="F124" s="237"/>
      <c r="G124" s="253"/>
      <c r="H124" s="251" t="s">
        <v>603</v>
      </c>
      <c r="I124" s="253"/>
      <c r="J124" s="256" t="s">
        <v>602</v>
      </c>
      <c r="K124" s="253"/>
      <c r="L124" s="251" t="s">
        <v>601</v>
      </c>
      <c r="M124" s="238"/>
      <c r="N124" s="25"/>
    </row>
    <row r="125" spans="1:14">
      <c r="A125" s="23"/>
      <c r="B125" s="239"/>
      <c r="C125" s="254"/>
      <c r="D125" s="45"/>
      <c r="E125" s="45"/>
      <c r="F125" s="45"/>
      <c r="G125" s="254"/>
      <c r="H125" s="252" t="s">
        <v>604</v>
      </c>
      <c r="I125" s="254"/>
      <c r="J125" s="257"/>
      <c r="K125" s="254"/>
      <c r="L125" s="45"/>
      <c r="M125" s="240"/>
      <c r="N125" s="25"/>
    </row>
    <row r="126" spans="1:14">
      <c r="A126" s="23"/>
      <c r="B126" s="239"/>
      <c r="C126" s="254"/>
      <c r="D126" s="45"/>
      <c r="E126" s="45"/>
      <c r="F126" s="45"/>
      <c r="G126" s="254"/>
      <c r="H126" s="252" t="s">
        <v>605</v>
      </c>
      <c r="I126" s="254"/>
      <c r="J126" s="257"/>
      <c r="K126" s="254"/>
      <c r="L126" s="45"/>
      <c r="M126" s="240"/>
      <c r="N126" s="25"/>
    </row>
    <row r="127" spans="1:14">
      <c r="A127" s="23"/>
      <c r="B127" s="239"/>
      <c r="C127" s="254"/>
      <c r="D127" s="45"/>
      <c r="E127" s="45"/>
      <c r="F127" s="45"/>
      <c r="G127" s="254"/>
      <c r="H127" s="45"/>
      <c r="I127" s="254"/>
      <c r="J127" s="257"/>
      <c r="K127" s="254"/>
      <c r="L127" s="45"/>
      <c r="M127" s="240"/>
      <c r="N127" s="25"/>
    </row>
    <row r="128" spans="1:14">
      <c r="A128" s="23"/>
      <c r="B128" s="239"/>
      <c r="C128" s="254"/>
      <c r="D128" s="45"/>
      <c r="E128" s="45"/>
      <c r="F128" s="45"/>
      <c r="G128" s="254"/>
      <c r="H128" s="45"/>
      <c r="I128" s="254"/>
      <c r="J128" s="257"/>
      <c r="K128" s="254"/>
      <c r="L128" s="45"/>
      <c r="M128" s="240"/>
      <c r="N128" s="25"/>
    </row>
    <row r="129" spans="1:14">
      <c r="A129" s="23"/>
      <c r="B129" s="239"/>
      <c r="C129" s="254"/>
      <c r="D129" s="45"/>
      <c r="E129" s="45"/>
      <c r="F129" s="45"/>
      <c r="G129" s="254"/>
      <c r="H129" s="45"/>
      <c r="I129" s="254"/>
      <c r="J129" s="257"/>
      <c r="K129" s="254"/>
      <c r="L129" s="45"/>
      <c r="M129" s="240"/>
      <c r="N129" s="25"/>
    </row>
    <row r="130" spans="1:14">
      <c r="A130" s="23"/>
      <c r="B130" s="239"/>
      <c r="C130" s="254"/>
      <c r="D130" s="45"/>
      <c r="E130" s="45"/>
      <c r="F130" s="45"/>
      <c r="G130" s="254"/>
      <c r="H130" s="45"/>
      <c r="I130" s="254"/>
      <c r="J130" s="257"/>
      <c r="K130" s="254"/>
      <c r="L130" s="45"/>
      <c r="M130" s="240"/>
      <c r="N130" s="25"/>
    </row>
    <row r="131" spans="1:14">
      <c r="A131" s="23"/>
      <c r="B131" s="239"/>
      <c r="C131" s="254"/>
      <c r="D131" s="45"/>
      <c r="E131" s="45"/>
      <c r="F131" s="45"/>
      <c r="G131" s="254"/>
      <c r="H131" s="45"/>
      <c r="I131" s="254"/>
      <c r="J131" s="257"/>
      <c r="K131" s="254"/>
      <c r="L131" s="45"/>
      <c r="M131" s="240"/>
      <c r="N131" s="25"/>
    </row>
    <row r="132" spans="1:14">
      <c r="A132" s="23"/>
      <c r="B132" s="239"/>
      <c r="C132" s="254"/>
      <c r="D132" s="45"/>
      <c r="E132" s="45"/>
      <c r="F132" s="45"/>
      <c r="G132" s="254"/>
      <c r="H132" s="45"/>
      <c r="I132" s="254"/>
      <c r="J132" s="257"/>
      <c r="K132" s="254"/>
      <c r="L132" s="45"/>
      <c r="M132" s="240"/>
      <c r="N132" s="25"/>
    </row>
    <row r="133" spans="1:14">
      <c r="A133" s="23"/>
      <c r="B133" s="239"/>
      <c r="C133" s="254"/>
      <c r="D133" s="45"/>
      <c r="E133" s="45"/>
      <c r="F133" s="45"/>
      <c r="G133" s="254"/>
      <c r="H133" s="45"/>
      <c r="I133" s="254"/>
      <c r="J133" s="257"/>
      <c r="K133" s="254"/>
      <c r="L133" s="45"/>
      <c r="M133" s="240"/>
      <c r="N133" s="25"/>
    </row>
    <row r="134" spans="1:14">
      <c r="A134" s="23"/>
      <c r="B134" s="239"/>
      <c r="C134" s="254"/>
      <c r="D134" s="45"/>
      <c r="E134" s="45"/>
      <c r="F134" s="45"/>
      <c r="G134" s="254"/>
      <c r="H134" s="45"/>
      <c r="I134" s="254"/>
      <c r="J134" s="257"/>
      <c r="K134" s="254"/>
      <c r="L134" s="45"/>
      <c r="M134" s="240"/>
      <c r="N134" s="25"/>
    </row>
    <row r="135" spans="1:14">
      <c r="A135" s="23"/>
      <c r="B135" s="239"/>
      <c r="C135" s="254"/>
      <c r="D135" s="45"/>
      <c r="E135" s="45"/>
      <c r="F135" s="45"/>
      <c r="G135" s="254"/>
      <c r="H135" s="45"/>
      <c r="I135" s="254"/>
      <c r="J135" s="257"/>
      <c r="K135" s="254"/>
      <c r="L135" s="45"/>
      <c r="M135" s="240"/>
      <c r="N135" s="25"/>
    </row>
    <row r="136" spans="1:14" ht="15.75" thickBot="1">
      <c r="A136" s="23"/>
      <c r="B136" s="241"/>
      <c r="C136" s="255"/>
      <c r="D136" s="242"/>
      <c r="E136" s="242"/>
      <c r="F136" s="242"/>
      <c r="G136" s="255"/>
      <c r="H136" s="242"/>
      <c r="I136" s="255"/>
      <c r="J136" s="258"/>
      <c r="K136" s="255"/>
      <c r="L136" s="242"/>
      <c r="M136" s="243"/>
      <c r="N136" s="25"/>
    </row>
    <row r="137" spans="1:14" ht="15.75" thickBot="1">
      <c r="A137" s="27"/>
      <c r="B137" s="28"/>
      <c r="C137" s="28"/>
      <c r="D137" s="28"/>
      <c r="E137" s="28"/>
      <c r="F137" s="28"/>
      <c r="G137" s="28"/>
      <c r="H137" s="28"/>
      <c r="I137" s="28"/>
      <c r="J137" s="28"/>
      <c r="K137" s="28"/>
      <c r="L137" s="28"/>
      <c r="M137" s="28"/>
      <c r="N137" s="29"/>
    </row>
    <row r="138" spans="1:14" ht="19.5" thickBot="1">
      <c r="A138" s="30"/>
      <c r="B138" s="31" t="s">
        <v>607</v>
      </c>
      <c r="C138" s="32"/>
      <c r="D138" s="32"/>
      <c r="E138" s="32"/>
      <c r="F138" s="32"/>
      <c r="G138" s="32"/>
      <c r="H138" s="32"/>
      <c r="I138" s="32"/>
      <c r="J138" s="32"/>
      <c r="K138" s="32"/>
      <c r="L138" s="32"/>
      <c r="M138" s="32"/>
      <c r="N138" s="33"/>
    </row>
    <row r="139" spans="1:14" ht="16.5" thickBot="1">
      <c r="A139" s="34"/>
      <c r="B139" s="35"/>
      <c r="C139" s="35"/>
      <c r="D139" s="35"/>
      <c r="E139" s="114" t="s">
        <v>611</v>
      </c>
      <c r="F139" s="429"/>
      <c r="G139" s="430"/>
      <c r="H139" s="431"/>
      <c r="I139" s="262" t="s">
        <v>4</v>
      </c>
      <c r="J139" s="35"/>
      <c r="K139" s="35"/>
      <c r="L139" s="35"/>
      <c r="M139" s="35"/>
      <c r="N139" s="36"/>
    </row>
    <row r="140" spans="1:14" ht="3.95" customHeight="1" thickBot="1">
      <c r="A140" s="34"/>
      <c r="B140" s="35"/>
      <c r="C140" s="35"/>
      <c r="D140" s="35"/>
      <c r="E140" s="35"/>
      <c r="F140" s="35"/>
      <c r="G140" s="35"/>
      <c r="H140" s="35"/>
      <c r="I140" s="35"/>
      <c r="J140" s="35"/>
      <c r="K140" s="35"/>
      <c r="L140" s="35"/>
      <c r="M140" s="35"/>
      <c r="N140" s="36"/>
    </row>
    <row r="141" spans="1:14" ht="16.5" thickBot="1">
      <c r="A141" s="34"/>
      <c r="B141" s="35"/>
      <c r="C141" s="35"/>
      <c r="D141" s="35"/>
      <c r="E141" s="114" t="s">
        <v>608</v>
      </c>
      <c r="F141" s="429"/>
      <c r="G141" s="430"/>
      <c r="H141" s="431"/>
      <c r="I141" s="262" t="s">
        <v>4</v>
      </c>
      <c r="J141" s="35"/>
      <c r="K141" s="35"/>
      <c r="L141" s="35"/>
      <c r="M141" s="35"/>
      <c r="N141" s="36"/>
    </row>
    <row r="142" spans="1:14" ht="3.95" customHeight="1" thickBot="1">
      <c r="A142" s="34"/>
      <c r="B142" s="35"/>
      <c r="C142" s="35"/>
      <c r="D142" s="35"/>
      <c r="E142" s="35"/>
      <c r="F142" s="35"/>
      <c r="G142" s="35"/>
      <c r="H142" s="35"/>
      <c r="I142" s="35"/>
      <c r="J142" s="35"/>
      <c r="K142" s="35"/>
      <c r="L142" s="35"/>
      <c r="M142" s="35"/>
      <c r="N142" s="36"/>
    </row>
    <row r="143" spans="1:14" ht="16.5" thickBot="1">
      <c r="A143" s="34"/>
      <c r="B143" s="35"/>
      <c r="C143" s="35"/>
      <c r="D143" s="35"/>
      <c r="E143" s="114" t="s">
        <v>609</v>
      </c>
      <c r="F143" s="429"/>
      <c r="G143" s="430"/>
      <c r="H143" s="431"/>
      <c r="I143" s="262" t="s">
        <v>4</v>
      </c>
      <c r="J143" s="35"/>
      <c r="K143" s="35"/>
      <c r="L143" s="35"/>
      <c r="M143" s="35"/>
      <c r="N143" s="36"/>
    </row>
    <row r="144" spans="1:14" ht="3.95" customHeight="1">
      <c r="A144" s="34"/>
      <c r="B144" s="35"/>
      <c r="C144" s="35"/>
      <c r="D144" s="35"/>
      <c r="E144" s="35"/>
      <c r="F144" s="35"/>
      <c r="G144" s="35"/>
      <c r="H144" s="35"/>
      <c r="I144" s="35"/>
      <c r="J144" s="35"/>
      <c r="K144" s="35"/>
      <c r="L144" s="35"/>
      <c r="M144" s="35"/>
      <c r="N144" s="36"/>
    </row>
    <row r="145" spans="1:14" ht="16.5" thickBot="1">
      <c r="A145" s="230"/>
      <c r="B145" s="263" t="s">
        <v>610</v>
      </c>
      <c r="C145" s="35"/>
      <c r="D145" s="35"/>
      <c r="E145" s="35"/>
      <c r="F145" s="35"/>
      <c r="G145" s="35"/>
      <c r="H145" s="35"/>
      <c r="I145" s="35"/>
      <c r="J145" s="35"/>
      <c r="K145" s="35"/>
      <c r="L145" s="35"/>
      <c r="M145" s="35"/>
      <c r="N145" s="36"/>
    </row>
    <row r="146" spans="1:14">
      <c r="A146" s="34"/>
      <c r="B146" s="236"/>
      <c r="C146" s="237"/>
      <c r="D146" s="237"/>
      <c r="E146" s="237"/>
      <c r="F146" s="237"/>
      <c r="G146" s="237"/>
      <c r="H146" s="237"/>
      <c r="I146" s="237"/>
      <c r="J146" s="237"/>
      <c r="K146" s="237"/>
      <c r="L146" s="237"/>
      <c r="M146" s="238"/>
      <c r="N146" s="36"/>
    </row>
    <row r="147" spans="1:14">
      <c r="A147" s="34"/>
      <c r="B147" s="239"/>
      <c r="C147" s="45"/>
      <c r="D147" s="45"/>
      <c r="E147" s="45"/>
      <c r="F147" s="45"/>
      <c r="G147" s="45"/>
      <c r="H147" s="45"/>
      <c r="I147" s="45"/>
      <c r="J147" s="45"/>
      <c r="K147" s="45"/>
      <c r="L147" s="45"/>
      <c r="M147" s="240"/>
      <c r="N147" s="36"/>
    </row>
    <row r="148" spans="1:14">
      <c r="A148" s="34"/>
      <c r="B148" s="239"/>
      <c r="C148" s="45"/>
      <c r="D148" s="45"/>
      <c r="E148" s="45"/>
      <c r="F148" s="45"/>
      <c r="G148" s="45"/>
      <c r="H148" s="45"/>
      <c r="I148" s="45"/>
      <c r="J148" s="45"/>
      <c r="K148" s="45"/>
      <c r="L148" s="45"/>
      <c r="M148" s="240"/>
      <c r="N148" s="36"/>
    </row>
    <row r="149" spans="1:14">
      <c r="A149" s="34"/>
      <c r="B149" s="239"/>
      <c r="C149" s="45"/>
      <c r="D149" s="45"/>
      <c r="E149" s="45"/>
      <c r="F149" s="45"/>
      <c r="G149" s="45"/>
      <c r="H149" s="45"/>
      <c r="I149" s="45"/>
      <c r="J149" s="45"/>
      <c r="K149" s="45"/>
      <c r="L149" s="45"/>
      <c r="M149" s="240"/>
      <c r="N149" s="36"/>
    </row>
    <row r="150" spans="1:14" ht="15.75" thickBot="1">
      <c r="A150" s="34"/>
      <c r="B150" s="241"/>
      <c r="C150" s="242"/>
      <c r="D150" s="242"/>
      <c r="E150" s="242"/>
      <c r="F150" s="242"/>
      <c r="G150" s="242"/>
      <c r="H150" s="242"/>
      <c r="I150" s="242"/>
      <c r="J150" s="242"/>
      <c r="K150" s="242"/>
      <c r="L150" s="242"/>
      <c r="M150" s="243"/>
      <c r="N150" s="36"/>
    </row>
    <row r="151" spans="1:14">
      <c r="A151" s="34"/>
      <c r="B151" s="35"/>
      <c r="C151" s="35"/>
      <c r="D151" s="35"/>
      <c r="E151" s="35"/>
      <c r="F151" s="35"/>
      <c r="G151" s="35"/>
      <c r="H151" s="35"/>
      <c r="I151" s="35"/>
      <c r="J151" s="35"/>
      <c r="K151" s="35"/>
      <c r="L151" s="35"/>
      <c r="M151" s="35"/>
      <c r="N151" s="36"/>
    </row>
    <row r="152" spans="1:14" ht="16.5" thickBot="1">
      <c r="A152" s="230" t="s">
        <v>4</v>
      </c>
      <c r="B152" s="263" t="s">
        <v>612</v>
      </c>
      <c r="C152" s="35"/>
      <c r="D152" s="35"/>
      <c r="E152" s="35"/>
      <c r="F152" s="35"/>
      <c r="G152" s="35"/>
      <c r="H152" s="35"/>
      <c r="I152" s="35"/>
      <c r="J152" s="35"/>
      <c r="K152" s="35"/>
      <c r="L152" s="35"/>
      <c r="M152" s="35"/>
      <c r="N152" s="36"/>
    </row>
    <row r="153" spans="1:14">
      <c r="A153" s="34"/>
      <c r="B153" s="236"/>
      <c r="C153" s="237"/>
      <c r="D153" s="237"/>
      <c r="E153" s="237"/>
      <c r="F153" s="237"/>
      <c r="G153" s="237"/>
      <c r="H153" s="237"/>
      <c r="I153" s="237"/>
      <c r="J153" s="237"/>
      <c r="K153" s="237"/>
      <c r="L153" s="237"/>
      <c r="M153" s="238"/>
      <c r="N153" s="36"/>
    </row>
    <row r="154" spans="1:14">
      <c r="A154" s="34"/>
      <c r="B154" s="239"/>
      <c r="C154" s="45"/>
      <c r="D154" s="45"/>
      <c r="E154" s="45"/>
      <c r="F154" s="45"/>
      <c r="G154" s="45"/>
      <c r="H154" s="45"/>
      <c r="I154" s="45"/>
      <c r="J154" s="45"/>
      <c r="K154" s="45"/>
      <c r="L154" s="45"/>
      <c r="M154" s="240"/>
      <c r="N154" s="36"/>
    </row>
    <row r="155" spans="1:14">
      <c r="A155" s="34"/>
      <c r="B155" s="239"/>
      <c r="C155" s="45"/>
      <c r="D155" s="45"/>
      <c r="E155" s="45"/>
      <c r="F155" s="45"/>
      <c r="G155" s="45"/>
      <c r="H155" s="45"/>
      <c r="I155" s="45"/>
      <c r="J155" s="45"/>
      <c r="K155" s="45"/>
      <c r="L155" s="45"/>
      <c r="M155" s="240"/>
      <c r="N155" s="36"/>
    </row>
    <row r="156" spans="1:14">
      <c r="A156" s="34"/>
      <c r="B156" s="239"/>
      <c r="C156" s="45"/>
      <c r="D156" s="45"/>
      <c r="E156" s="45"/>
      <c r="F156" s="45"/>
      <c r="G156" s="45"/>
      <c r="H156" s="45"/>
      <c r="I156" s="45"/>
      <c r="J156" s="45"/>
      <c r="K156" s="45"/>
      <c r="L156" s="45"/>
      <c r="M156" s="240"/>
      <c r="N156" s="36"/>
    </row>
    <row r="157" spans="1:14" ht="15.75" thickBot="1">
      <c r="A157" s="34"/>
      <c r="B157" s="241"/>
      <c r="C157" s="242"/>
      <c r="D157" s="242"/>
      <c r="E157" s="242"/>
      <c r="F157" s="242"/>
      <c r="G157" s="242"/>
      <c r="H157" s="242"/>
      <c r="I157" s="242"/>
      <c r="J157" s="242"/>
      <c r="K157" s="242"/>
      <c r="L157" s="242"/>
      <c r="M157" s="243"/>
      <c r="N157" s="36"/>
    </row>
    <row r="158" spans="1:14">
      <c r="A158" s="34"/>
      <c r="B158" s="35"/>
      <c r="C158" s="35"/>
      <c r="D158" s="35"/>
      <c r="E158" s="35"/>
      <c r="F158" s="35"/>
      <c r="G158" s="35"/>
      <c r="H158" s="35"/>
      <c r="I158" s="35"/>
      <c r="J158" s="35"/>
      <c r="K158" s="35"/>
      <c r="L158" s="35"/>
      <c r="M158" s="35"/>
      <c r="N158" s="36"/>
    </row>
    <row r="159" spans="1:14" ht="16.5" thickBot="1">
      <c r="A159" s="230" t="s">
        <v>4</v>
      </c>
      <c r="B159" s="263" t="s">
        <v>613</v>
      </c>
      <c r="C159" s="35"/>
      <c r="D159" s="35"/>
      <c r="E159" s="35"/>
      <c r="F159" s="35"/>
      <c r="G159" s="35"/>
      <c r="H159" s="35"/>
      <c r="I159" s="35"/>
      <c r="J159" s="35"/>
      <c r="K159" s="35"/>
      <c r="L159" s="35"/>
      <c r="M159" s="35"/>
      <c r="N159" s="36"/>
    </row>
    <row r="160" spans="1:14">
      <c r="A160" s="34"/>
      <c r="B160" s="236"/>
      <c r="C160" s="237"/>
      <c r="D160" s="237"/>
      <c r="E160" s="237"/>
      <c r="F160" s="237"/>
      <c r="G160" s="237"/>
      <c r="H160" s="237"/>
      <c r="I160" s="237"/>
      <c r="J160" s="237"/>
      <c r="K160" s="237"/>
      <c r="L160" s="237"/>
      <c r="M160" s="238"/>
      <c r="N160" s="36"/>
    </row>
    <row r="161" spans="1:14">
      <c r="A161" s="34"/>
      <c r="B161" s="239"/>
      <c r="C161" s="45"/>
      <c r="D161" s="45"/>
      <c r="E161" s="45"/>
      <c r="F161" s="45"/>
      <c r="G161" s="45"/>
      <c r="H161" s="45"/>
      <c r="I161" s="45"/>
      <c r="J161" s="45"/>
      <c r="K161" s="45"/>
      <c r="L161" s="45"/>
      <c r="M161" s="240"/>
      <c r="N161" s="36"/>
    </row>
    <row r="162" spans="1:14">
      <c r="A162" s="34"/>
      <c r="B162" s="239"/>
      <c r="C162" s="45"/>
      <c r="D162" s="45"/>
      <c r="E162" s="45"/>
      <c r="F162" s="45"/>
      <c r="G162" s="45"/>
      <c r="H162" s="45"/>
      <c r="I162" s="45"/>
      <c r="J162" s="45"/>
      <c r="K162" s="45"/>
      <c r="L162" s="45"/>
      <c r="M162" s="240"/>
      <c r="N162" s="36"/>
    </row>
    <row r="163" spans="1:14">
      <c r="A163" s="34"/>
      <c r="B163" s="239"/>
      <c r="C163" s="45"/>
      <c r="D163" s="45"/>
      <c r="E163" s="45"/>
      <c r="F163" s="45"/>
      <c r="G163" s="45"/>
      <c r="H163" s="45"/>
      <c r="I163" s="45"/>
      <c r="J163" s="45"/>
      <c r="K163" s="45"/>
      <c r="L163" s="45"/>
      <c r="M163" s="240"/>
      <c r="N163" s="36"/>
    </row>
    <row r="164" spans="1:14" ht="15.75" thickBot="1">
      <c r="A164" s="34"/>
      <c r="B164" s="241"/>
      <c r="C164" s="242"/>
      <c r="D164" s="242"/>
      <c r="E164" s="242"/>
      <c r="F164" s="242"/>
      <c r="G164" s="242"/>
      <c r="H164" s="242"/>
      <c r="I164" s="242"/>
      <c r="J164" s="242"/>
      <c r="K164" s="242"/>
      <c r="L164" s="242"/>
      <c r="M164" s="243"/>
      <c r="N164" s="36"/>
    </row>
    <row r="165" spans="1:14" ht="15.75" thickBot="1">
      <c r="A165" s="34"/>
      <c r="B165" s="35"/>
      <c r="C165" s="35"/>
      <c r="D165" s="35"/>
      <c r="E165" s="35"/>
      <c r="F165" s="35"/>
      <c r="G165" s="35"/>
      <c r="H165" s="35"/>
      <c r="I165" s="35"/>
      <c r="J165" s="35"/>
      <c r="K165" s="35"/>
      <c r="L165" s="35"/>
      <c r="M165" s="35"/>
      <c r="N165" s="36"/>
    </row>
    <row r="166" spans="1:14" ht="16.5" thickBot="1">
      <c r="A166" s="34"/>
      <c r="B166" s="35"/>
      <c r="C166" s="35"/>
      <c r="D166" s="35"/>
      <c r="E166" s="114" t="s">
        <v>614</v>
      </c>
      <c r="F166" s="429"/>
      <c r="G166" s="430"/>
      <c r="H166" s="431"/>
      <c r="I166" s="262" t="s">
        <v>4</v>
      </c>
      <c r="J166" s="35"/>
      <c r="K166" s="35"/>
      <c r="L166" s="35"/>
      <c r="M166" s="35"/>
      <c r="N166" s="36"/>
    </row>
    <row r="167" spans="1:14" ht="15.75" thickBot="1">
      <c r="A167" s="37"/>
      <c r="B167" s="38"/>
      <c r="C167" s="38"/>
      <c r="D167" s="38"/>
      <c r="E167" s="38"/>
      <c r="F167" s="38"/>
      <c r="G167" s="38"/>
      <c r="H167" s="38"/>
      <c r="I167" s="38"/>
      <c r="J167" s="38"/>
      <c r="K167" s="38"/>
      <c r="L167" s="38"/>
      <c r="M167" s="38"/>
      <c r="N167" s="39"/>
    </row>
  </sheetData>
  <mergeCells count="29">
    <mergeCell ref="B5:C5"/>
    <mergeCell ref="E18:G18"/>
    <mergeCell ref="B21:M22"/>
    <mergeCell ref="B67:M68"/>
    <mergeCell ref="B69:M75"/>
    <mergeCell ref="B10:M12"/>
    <mergeCell ref="B78:M80"/>
    <mergeCell ref="B81:M87"/>
    <mergeCell ref="B23:M29"/>
    <mergeCell ref="B32:M34"/>
    <mergeCell ref="B35:M41"/>
    <mergeCell ref="B43:M45"/>
    <mergeCell ref="B46:M52"/>
    <mergeCell ref="F143:H143"/>
    <mergeCell ref="F166:H166"/>
    <mergeCell ref="B6:M9"/>
    <mergeCell ref="L123:M123"/>
    <mergeCell ref="J123:K123"/>
    <mergeCell ref="H123:I123"/>
    <mergeCell ref="F139:H139"/>
    <mergeCell ref="F141:H141"/>
    <mergeCell ref="B90:M94"/>
    <mergeCell ref="B95:M101"/>
    <mergeCell ref="B104:G106"/>
    <mergeCell ref="H104:I106"/>
    <mergeCell ref="J104:K106"/>
    <mergeCell ref="L104:M106"/>
    <mergeCell ref="B54:M58"/>
    <mergeCell ref="B59:M65"/>
  </mergeCells>
  <conditionalFormatting sqref="A5">
    <cfRule type="expression" dxfId="1" priority="68">
      <formula>#REF!="No"</formula>
    </cfRule>
  </conditionalFormatting>
  <hyperlinks>
    <hyperlink ref="A5" r:id="rId1" xr:uid="{8899E14A-D944-4041-BAEF-30E2244FAC41}"/>
    <hyperlink ref="F14" r:id="rId2" xr:uid="{517B1957-72F2-4FE3-9D03-1614ACDF686A}"/>
    <hyperlink ref="M14" r:id="rId3" xr:uid="{04706D8C-DE2D-4738-96FB-AC014E0701B7}"/>
  </hyperlinks>
  <pageMargins left="0.7" right="0.7" top="0.75" bottom="0.75" header="0.3" footer="0.3"/>
  <pageSetup paperSize="9" orientation="portrait" r:id="rId4"/>
  <drawing r:id="rId5"/>
  <legacy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8D40F-6F76-45D7-B0D2-9094E32A02E1}">
  <sheetPr codeName="Sheet12"/>
  <dimension ref="A1:R28"/>
  <sheetViews>
    <sheetView workbookViewId="0">
      <selection activeCell="B5" sqref="B5:C5"/>
    </sheetView>
  </sheetViews>
  <sheetFormatPr defaultRowHeight="15"/>
  <sheetData>
    <row r="1" spans="1:18">
      <c r="A1" s="40"/>
      <c r="B1" s="42"/>
      <c r="C1" s="42"/>
      <c r="D1" s="42"/>
      <c r="E1" s="42"/>
      <c r="F1" s="42"/>
      <c r="G1" s="42"/>
      <c r="H1" s="42"/>
      <c r="I1" s="42"/>
      <c r="J1" s="42"/>
      <c r="K1" s="42"/>
      <c r="L1" s="42"/>
      <c r="M1" s="42"/>
      <c r="N1" s="42"/>
      <c r="O1" s="42"/>
      <c r="P1" s="42"/>
      <c r="Q1" s="42"/>
      <c r="R1" s="43"/>
    </row>
    <row r="2" spans="1:18">
      <c r="A2" s="44"/>
      <c r="B2" s="45"/>
      <c r="C2" s="45"/>
      <c r="D2" s="45"/>
      <c r="E2" s="45"/>
      <c r="F2" s="45"/>
      <c r="G2" s="45"/>
      <c r="H2" s="45"/>
      <c r="I2" s="45"/>
      <c r="J2" s="45"/>
      <c r="K2" s="45"/>
      <c r="L2" s="45"/>
      <c r="M2" s="45"/>
      <c r="N2" s="45"/>
      <c r="O2" s="45"/>
      <c r="P2" s="45"/>
      <c r="Q2" s="45"/>
      <c r="R2" s="46"/>
    </row>
    <row r="3" spans="1:18">
      <c r="A3" s="44"/>
      <c r="B3" s="45"/>
      <c r="C3" s="45"/>
      <c r="D3" s="45"/>
      <c r="E3" s="45"/>
      <c r="F3" s="45"/>
      <c r="G3" s="45"/>
      <c r="H3" s="45"/>
      <c r="I3" s="45"/>
      <c r="J3" s="45"/>
      <c r="K3" s="45"/>
      <c r="L3" s="45"/>
      <c r="M3" s="45"/>
      <c r="N3" s="45"/>
      <c r="O3" s="45"/>
      <c r="P3" s="45"/>
      <c r="Q3" s="45"/>
      <c r="R3" s="46"/>
    </row>
    <row r="4" spans="1:18">
      <c r="A4" s="44"/>
      <c r="B4" s="45"/>
      <c r="C4" s="45"/>
      <c r="D4" s="45"/>
      <c r="E4" s="45"/>
      <c r="F4" s="45"/>
      <c r="G4" s="45"/>
      <c r="H4" s="45"/>
      <c r="I4" s="45"/>
      <c r="J4" s="45"/>
      <c r="K4" s="45"/>
      <c r="L4" s="45"/>
      <c r="M4" s="45"/>
      <c r="N4" s="45"/>
      <c r="O4" s="45"/>
      <c r="P4" s="45"/>
      <c r="Q4" s="45"/>
      <c r="R4" s="46"/>
    </row>
    <row r="5" spans="1:18" ht="21">
      <c r="A5" s="44"/>
      <c r="B5" s="365" t="s">
        <v>618</v>
      </c>
      <c r="C5" s="365"/>
      <c r="D5" s="45"/>
      <c r="E5" s="45"/>
      <c r="F5" s="45"/>
      <c r="G5" s="45"/>
      <c r="H5" s="45"/>
      <c r="I5" s="45"/>
      <c r="J5" s="45"/>
      <c r="K5" s="45"/>
      <c r="L5" s="45"/>
      <c r="M5" s="45"/>
      <c r="N5" s="45"/>
      <c r="O5" s="45"/>
      <c r="P5" s="45"/>
      <c r="Q5" s="45"/>
      <c r="R5" s="46"/>
    </row>
    <row r="6" spans="1:18">
      <c r="A6" s="44"/>
      <c r="B6" s="45">
        <v>1</v>
      </c>
      <c r="C6" s="45" t="s">
        <v>620</v>
      </c>
      <c r="D6" s="45"/>
      <c r="E6" s="45"/>
      <c r="F6" s="45"/>
      <c r="G6" s="45"/>
      <c r="H6" s="45"/>
      <c r="I6" s="45"/>
      <c r="J6" s="45"/>
      <c r="K6" s="45"/>
      <c r="L6" s="45"/>
      <c r="M6" s="45"/>
      <c r="N6" s="45"/>
      <c r="O6" s="45"/>
      <c r="P6" s="45"/>
      <c r="Q6" s="45"/>
      <c r="R6" s="46"/>
    </row>
    <row r="7" spans="1:18">
      <c r="A7" s="44"/>
      <c r="B7" s="45">
        <v>2</v>
      </c>
      <c r="C7" s="45" t="s">
        <v>632</v>
      </c>
      <c r="D7" s="45"/>
      <c r="E7" s="45"/>
      <c r="F7" s="45"/>
      <c r="G7" s="45"/>
      <c r="H7" s="45"/>
      <c r="I7" s="45"/>
      <c r="J7" s="45"/>
      <c r="K7" s="45"/>
      <c r="L7" s="45"/>
      <c r="M7" s="45"/>
      <c r="N7" s="45"/>
      <c r="O7" s="45"/>
      <c r="P7" s="45"/>
      <c r="Q7" s="45"/>
      <c r="R7" s="46"/>
    </row>
    <row r="8" spans="1:18">
      <c r="A8" s="44"/>
      <c r="B8" s="45">
        <v>3</v>
      </c>
      <c r="C8" s="45" t="s">
        <v>634</v>
      </c>
      <c r="D8" s="45"/>
      <c r="E8" s="45"/>
      <c r="F8" s="45"/>
      <c r="G8" s="45"/>
      <c r="H8" s="45"/>
      <c r="I8" s="45"/>
      <c r="J8" s="45"/>
      <c r="K8" s="45"/>
      <c r="L8" s="45"/>
      <c r="M8" s="45"/>
      <c r="N8" s="45"/>
      <c r="O8" s="45"/>
      <c r="P8" s="45"/>
      <c r="Q8" s="45"/>
      <c r="R8" s="46"/>
    </row>
    <row r="9" spans="1:18">
      <c r="A9" s="44"/>
      <c r="B9" s="45">
        <v>4</v>
      </c>
      <c r="C9" s="45" t="s">
        <v>642</v>
      </c>
      <c r="D9" s="45"/>
      <c r="E9" s="45"/>
      <c r="F9" s="45"/>
      <c r="G9" s="45"/>
      <c r="H9" s="45"/>
      <c r="I9" s="45"/>
      <c r="J9" s="45"/>
      <c r="K9" s="45"/>
      <c r="L9" s="45"/>
      <c r="M9" s="45"/>
      <c r="N9" s="45"/>
      <c r="O9" s="45"/>
      <c r="P9" s="45"/>
      <c r="Q9" s="45"/>
      <c r="R9" s="46"/>
    </row>
    <row r="10" spans="1:18">
      <c r="A10" s="44"/>
      <c r="B10" s="45">
        <v>5</v>
      </c>
      <c r="C10" s="45" t="s">
        <v>657</v>
      </c>
      <c r="D10" s="45"/>
      <c r="E10" s="45"/>
      <c r="F10" s="45"/>
      <c r="G10" s="45"/>
      <c r="H10" s="45"/>
      <c r="I10" s="45"/>
      <c r="J10" s="45"/>
      <c r="K10" s="45"/>
      <c r="L10" s="45"/>
      <c r="M10" s="45"/>
      <c r="N10" s="45"/>
      <c r="O10" s="45"/>
      <c r="P10" s="45"/>
      <c r="Q10" s="45"/>
      <c r="R10" s="46"/>
    </row>
    <row r="11" spans="1:18">
      <c r="A11" s="44"/>
      <c r="B11" s="45">
        <v>6</v>
      </c>
      <c r="C11" s="45" t="s">
        <v>685</v>
      </c>
      <c r="D11" s="45"/>
      <c r="E11" s="45"/>
      <c r="F11" s="45"/>
      <c r="G11" s="45"/>
      <c r="H11" s="45"/>
      <c r="I11" s="45"/>
      <c r="J11" s="45"/>
      <c r="K11" s="45"/>
      <c r="L11" s="45"/>
      <c r="M11" s="45"/>
      <c r="N11" s="45"/>
      <c r="O11" s="45"/>
      <c r="P11" s="45"/>
      <c r="Q11" s="45"/>
      <c r="R11" s="46"/>
    </row>
    <row r="12" spans="1:18">
      <c r="A12" s="44"/>
      <c r="B12" s="45">
        <v>7</v>
      </c>
      <c r="C12" s="45" t="s">
        <v>734</v>
      </c>
      <c r="D12" s="45"/>
      <c r="E12" s="45"/>
      <c r="F12" s="45"/>
      <c r="G12" s="45"/>
      <c r="H12" s="45"/>
      <c r="I12" s="45"/>
      <c r="J12" s="45"/>
      <c r="K12" s="45"/>
      <c r="L12" s="45"/>
      <c r="M12" s="45"/>
      <c r="N12" s="45"/>
      <c r="O12" s="45"/>
      <c r="P12" s="45"/>
      <c r="Q12" s="45"/>
      <c r="R12" s="46"/>
    </row>
    <row r="13" spans="1:18">
      <c r="A13" s="44"/>
      <c r="B13" s="45"/>
      <c r="C13" s="45"/>
      <c r="D13" s="45"/>
      <c r="E13" s="45"/>
      <c r="F13" s="45"/>
      <c r="G13" s="45"/>
      <c r="H13" s="45"/>
      <c r="I13" s="45"/>
      <c r="J13" s="45"/>
      <c r="K13" s="45"/>
      <c r="L13" s="45"/>
      <c r="M13" s="45"/>
      <c r="N13" s="45"/>
      <c r="O13" s="45"/>
      <c r="P13" s="45"/>
      <c r="Q13" s="45"/>
      <c r="R13" s="46"/>
    </row>
    <row r="14" spans="1:18" ht="21">
      <c r="A14" s="44"/>
      <c r="B14" s="301" t="s">
        <v>619</v>
      </c>
      <c r="C14" s="45"/>
      <c r="D14" s="45"/>
      <c r="E14" s="45"/>
      <c r="F14" s="45"/>
      <c r="G14" s="45"/>
      <c r="H14" s="45"/>
      <c r="I14" s="45"/>
      <c r="J14" s="45"/>
      <c r="K14" s="45"/>
      <c r="L14" s="45"/>
      <c r="M14" s="45"/>
      <c r="N14" s="45"/>
      <c r="O14" s="45"/>
      <c r="P14" s="45"/>
      <c r="Q14" s="45"/>
      <c r="R14" s="46"/>
    </row>
    <row r="15" spans="1:18">
      <c r="A15" s="44"/>
      <c r="B15" s="45">
        <v>1</v>
      </c>
      <c r="C15" s="45" t="s">
        <v>621</v>
      </c>
      <c r="D15" s="45"/>
      <c r="E15" s="45"/>
      <c r="F15" s="45"/>
      <c r="G15" s="45"/>
      <c r="H15" s="45"/>
      <c r="I15" s="45"/>
      <c r="J15" s="45"/>
      <c r="K15" s="45"/>
      <c r="L15" s="45"/>
      <c r="M15" s="45"/>
      <c r="N15" s="45"/>
      <c r="O15" s="45"/>
      <c r="P15" s="45"/>
      <c r="Q15" s="45"/>
      <c r="R15" s="46"/>
    </row>
    <row r="16" spans="1:18">
      <c r="A16" s="44"/>
      <c r="B16" s="45">
        <v>2</v>
      </c>
      <c r="C16" s="45" t="s">
        <v>633</v>
      </c>
      <c r="D16" s="45"/>
      <c r="E16" s="45"/>
      <c r="F16" s="45"/>
      <c r="G16" s="45"/>
      <c r="H16" s="45"/>
      <c r="I16" s="45"/>
      <c r="J16" s="45"/>
      <c r="K16" s="45"/>
      <c r="L16" s="45"/>
      <c r="M16" s="45"/>
      <c r="N16" s="45"/>
      <c r="O16" s="45"/>
      <c r="P16" s="45"/>
      <c r="Q16" s="45"/>
      <c r="R16" s="46"/>
    </row>
    <row r="17" spans="1:18">
      <c r="A17" s="44"/>
      <c r="B17" s="45">
        <v>3</v>
      </c>
      <c r="C17" s="45" t="s">
        <v>684</v>
      </c>
      <c r="D17" s="45"/>
      <c r="E17" s="45"/>
      <c r="F17" s="45"/>
      <c r="G17" s="45"/>
      <c r="H17" s="45"/>
      <c r="I17" s="45"/>
      <c r="J17" s="45"/>
      <c r="K17" s="45"/>
      <c r="L17" s="45"/>
      <c r="M17" s="45"/>
      <c r="N17" s="45"/>
      <c r="O17" s="45"/>
      <c r="P17" s="45"/>
      <c r="Q17" s="45"/>
      <c r="R17" s="46"/>
    </row>
    <row r="18" spans="1:18">
      <c r="A18" s="44"/>
      <c r="B18" s="45">
        <v>4</v>
      </c>
      <c r="C18" s="45" t="s">
        <v>658</v>
      </c>
      <c r="D18" s="45"/>
      <c r="E18" s="45"/>
      <c r="F18" s="45"/>
      <c r="G18" s="45"/>
      <c r="H18" s="45"/>
      <c r="I18" s="45"/>
      <c r="J18" s="45"/>
      <c r="K18" s="45"/>
      <c r="L18" s="45"/>
      <c r="M18" s="45"/>
      <c r="N18" s="45"/>
      <c r="O18" s="45"/>
      <c r="P18" s="45"/>
      <c r="Q18" s="45"/>
      <c r="R18" s="46"/>
    </row>
    <row r="19" spans="1:18">
      <c r="A19" s="44"/>
      <c r="B19" s="45"/>
      <c r="C19" s="45"/>
      <c r="D19" s="45"/>
      <c r="E19" s="45"/>
      <c r="F19" s="45"/>
      <c r="G19" s="45"/>
      <c r="H19" s="45"/>
      <c r="I19" s="45"/>
      <c r="J19" s="45"/>
      <c r="K19" s="45"/>
      <c r="L19" s="45"/>
      <c r="M19" s="45"/>
      <c r="N19" s="45"/>
      <c r="O19" s="45"/>
      <c r="P19" s="45"/>
      <c r="Q19" s="45"/>
      <c r="R19" s="46"/>
    </row>
    <row r="20" spans="1:18">
      <c r="A20" s="44"/>
      <c r="B20" s="45"/>
      <c r="C20" s="45"/>
      <c r="D20" s="45"/>
      <c r="E20" s="45"/>
      <c r="F20" s="45"/>
      <c r="G20" s="45"/>
      <c r="H20" s="45"/>
      <c r="I20" s="45"/>
      <c r="J20" s="45"/>
      <c r="K20" s="45"/>
      <c r="L20" s="45"/>
      <c r="M20" s="45"/>
      <c r="N20" s="45"/>
      <c r="O20" s="45"/>
      <c r="P20" s="45"/>
      <c r="Q20" s="45"/>
      <c r="R20" s="46"/>
    </row>
    <row r="21" spans="1:18" ht="21">
      <c r="A21" s="44"/>
      <c r="B21" s="301" t="s">
        <v>699</v>
      </c>
      <c r="C21" s="45"/>
      <c r="D21" s="45"/>
      <c r="E21" s="45"/>
      <c r="F21" s="45"/>
      <c r="G21" s="45"/>
      <c r="H21" s="45"/>
      <c r="I21" s="45"/>
      <c r="J21" s="45"/>
      <c r="K21" s="45"/>
      <c r="L21" s="45"/>
      <c r="M21" s="45"/>
      <c r="N21" s="45"/>
      <c r="O21" s="45"/>
      <c r="P21" s="45"/>
      <c r="Q21" s="45"/>
      <c r="R21" s="46"/>
    </row>
    <row r="22" spans="1:18">
      <c r="A22" s="44"/>
      <c r="B22" s="45"/>
      <c r="C22" s="282" t="s">
        <v>659</v>
      </c>
      <c r="D22" s="283" t="s">
        <v>664</v>
      </c>
      <c r="E22" s="45"/>
      <c r="F22" s="45"/>
      <c r="G22" s="45"/>
      <c r="H22" s="45"/>
      <c r="I22" s="45"/>
      <c r="J22" s="45"/>
      <c r="K22" s="45"/>
      <c r="L22" s="45"/>
      <c r="M22" s="45"/>
      <c r="N22" s="45"/>
      <c r="O22" s="45"/>
      <c r="P22" s="45"/>
      <c r="Q22" s="45"/>
      <c r="R22" s="46"/>
    </row>
    <row r="23" spans="1:18">
      <c r="A23" s="44"/>
      <c r="B23" s="45"/>
      <c r="C23" s="282" t="s">
        <v>660</v>
      </c>
      <c r="D23" s="283" t="s">
        <v>665</v>
      </c>
      <c r="E23" s="45"/>
      <c r="F23" s="45"/>
      <c r="G23" s="45"/>
      <c r="H23" s="45"/>
      <c r="I23" s="45"/>
      <c r="J23" s="45"/>
      <c r="K23" s="45"/>
      <c r="L23" s="45"/>
      <c r="M23" s="45"/>
      <c r="N23" s="45"/>
      <c r="O23" s="45"/>
      <c r="P23" s="45"/>
      <c r="Q23" s="45"/>
      <c r="R23" s="46"/>
    </row>
    <row r="24" spans="1:18">
      <c r="A24" s="44"/>
      <c r="B24" s="45"/>
      <c r="C24" s="282" t="s">
        <v>661</v>
      </c>
      <c r="D24" s="283" t="s">
        <v>668</v>
      </c>
      <c r="E24" s="45"/>
      <c r="F24" s="45"/>
      <c r="G24" s="45"/>
      <c r="H24" s="45"/>
      <c r="I24" s="45"/>
      <c r="J24" s="45"/>
      <c r="K24" s="45"/>
      <c r="L24" s="45"/>
      <c r="M24" s="45"/>
      <c r="N24" s="45"/>
      <c r="O24" s="45"/>
      <c r="P24" s="45"/>
      <c r="Q24" s="45"/>
      <c r="R24" s="46"/>
    </row>
    <row r="25" spans="1:18">
      <c r="A25" s="44"/>
      <c r="B25" s="45"/>
      <c r="C25" s="282" t="s">
        <v>663</v>
      </c>
      <c r="D25" s="283" t="s">
        <v>662</v>
      </c>
      <c r="E25" s="45"/>
      <c r="F25" s="45"/>
      <c r="G25" s="45"/>
      <c r="H25" s="45"/>
      <c r="I25" s="45"/>
      <c r="J25" s="45"/>
      <c r="K25" s="45"/>
      <c r="L25" s="45"/>
      <c r="M25" s="45"/>
      <c r="N25" s="45"/>
      <c r="O25" s="45"/>
      <c r="P25" s="45"/>
      <c r="Q25" s="45"/>
      <c r="R25" s="46"/>
    </row>
    <row r="26" spans="1:18">
      <c r="A26" s="44"/>
      <c r="B26" s="45"/>
      <c r="C26" s="282" t="s">
        <v>7</v>
      </c>
      <c r="D26" s="283" t="s">
        <v>666</v>
      </c>
      <c r="E26" s="45"/>
      <c r="F26" s="45"/>
      <c r="G26" s="45"/>
      <c r="H26" s="45"/>
      <c r="I26" s="45"/>
      <c r="J26" s="45"/>
      <c r="K26" s="45"/>
      <c r="L26" s="45"/>
      <c r="M26" s="45"/>
      <c r="N26" s="45"/>
      <c r="O26" s="45"/>
      <c r="P26" s="45"/>
      <c r="Q26" s="45"/>
      <c r="R26" s="46"/>
    </row>
    <row r="27" spans="1:18">
      <c r="A27" s="44"/>
      <c r="B27" s="45"/>
      <c r="C27" s="282" t="s">
        <v>162</v>
      </c>
      <c r="D27" s="283" t="s">
        <v>667</v>
      </c>
      <c r="E27" s="45"/>
      <c r="F27" s="45"/>
      <c r="G27" s="45"/>
      <c r="H27" s="45"/>
      <c r="I27" s="45"/>
      <c r="J27" s="45"/>
      <c r="K27" s="45"/>
      <c r="L27" s="45"/>
      <c r="M27" s="45"/>
      <c r="N27" s="45"/>
      <c r="O27" s="45"/>
      <c r="P27" s="45"/>
      <c r="Q27" s="45"/>
      <c r="R27" s="46"/>
    </row>
    <row r="28" spans="1:18" ht="15.75" thickBot="1">
      <c r="A28" s="47"/>
      <c r="B28" s="48"/>
      <c r="C28" s="295"/>
      <c r="D28" s="48"/>
      <c r="E28" s="48"/>
      <c r="F28" s="48"/>
      <c r="G28" s="48"/>
      <c r="H28" s="48"/>
      <c r="I28" s="48"/>
      <c r="J28" s="48"/>
      <c r="K28" s="48"/>
      <c r="L28" s="48"/>
      <c r="M28" s="48"/>
      <c r="N28" s="48"/>
      <c r="O28" s="48"/>
      <c r="P28" s="48"/>
      <c r="Q28" s="48"/>
      <c r="R28" s="49"/>
    </row>
  </sheetData>
  <mergeCells count="1">
    <mergeCell ref="B5:C5"/>
  </mergeCells>
  <hyperlinks>
    <hyperlink ref="D25" r:id="rId1" xr:uid="{1A826C18-8A2D-44B3-8D3D-B6D9CF5F0EFB}"/>
    <hyperlink ref="D22" r:id="rId2" xr:uid="{496A5AE3-764B-4F78-A8EE-2625203ACAB0}"/>
    <hyperlink ref="D23" r:id="rId3" xr:uid="{2AE90930-8419-4E46-AB00-4C96583BC14A}"/>
    <hyperlink ref="D26" r:id="rId4" xr:uid="{2511B180-E796-4E90-B68F-A728149B4B97}"/>
    <hyperlink ref="D27" r:id="rId5" xr:uid="{064E990B-9E5B-443F-9155-DB139113D99A}"/>
    <hyperlink ref="D24" r:id="rId6" xr:uid="{4F607E81-4D93-4B8F-B69B-ADB26FF8BDC3}"/>
  </hyperlinks>
  <pageMargins left="0.7" right="0.7" top="0.75" bottom="0.75" header="0.3" footer="0.3"/>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2AFCE-D26E-41CA-82F9-2E4A6E4E9C93}">
  <sheetPr codeName="Sheet3">
    <tabColor theme="1" tint="0.14999847407452621"/>
  </sheetPr>
  <dimension ref="A1:Z58"/>
  <sheetViews>
    <sheetView tabSelected="1" zoomScaleNormal="100" workbookViewId="0">
      <selection activeCell="B9" sqref="B9:E9"/>
    </sheetView>
  </sheetViews>
  <sheetFormatPr defaultRowHeight="15"/>
  <sheetData>
    <row r="1" spans="1:16">
      <c r="A1" s="50"/>
      <c r="B1" s="51"/>
      <c r="C1" s="51"/>
      <c r="D1" s="51"/>
      <c r="E1" s="51"/>
      <c r="F1" s="51"/>
      <c r="G1" s="51"/>
      <c r="H1" s="51"/>
      <c r="I1" s="51"/>
      <c r="J1" s="51"/>
      <c r="K1" s="51"/>
      <c r="L1" s="51"/>
      <c r="M1" s="51"/>
      <c r="N1" s="51"/>
      <c r="O1" s="51"/>
      <c r="P1" s="52"/>
    </row>
    <row r="2" spans="1:16">
      <c r="A2" s="53"/>
      <c r="B2" s="54"/>
      <c r="C2" s="54"/>
      <c r="D2" s="54"/>
      <c r="E2" s="54"/>
      <c r="F2" s="54"/>
      <c r="G2" s="54"/>
      <c r="H2" s="54"/>
      <c r="I2" s="54"/>
      <c r="J2" s="54"/>
      <c r="K2" s="54"/>
      <c r="L2" s="54"/>
      <c r="M2" s="54"/>
      <c r="N2" s="54"/>
      <c r="O2" s="54"/>
      <c r="P2" s="55"/>
    </row>
    <row r="3" spans="1:16">
      <c r="A3" s="53"/>
      <c r="B3" s="54"/>
      <c r="C3" s="54"/>
      <c r="D3" s="54"/>
      <c r="E3" s="54"/>
      <c r="F3" s="54"/>
      <c r="G3" s="54"/>
      <c r="H3" s="54"/>
      <c r="I3" s="54"/>
      <c r="J3" s="54"/>
      <c r="K3" s="54"/>
      <c r="L3" s="54"/>
      <c r="M3" s="54"/>
      <c r="N3" s="54"/>
      <c r="O3" s="54"/>
      <c r="P3" s="55"/>
    </row>
    <row r="4" spans="1:16">
      <c r="A4" s="53"/>
      <c r="B4" s="54"/>
      <c r="C4" s="54"/>
      <c r="D4" s="54"/>
      <c r="E4" s="54"/>
      <c r="F4" s="54"/>
      <c r="G4" s="54"/>
      <c r="H4" s="54"/>
      <c r="I4" s="54"/>
      <c r="J4" s="54"/>
      <c r="K4" s="54"/>
      <c r="L4" s="54"/>
      <c r="M4" s="54"/>
      <c r="N4" s="54"/>
      <c r="O4" s="54"/>
      <c r="P4" s="55"/>
    </row>
    <row r="5" spans="1:16">
      <c r="A5" s="53"/>
      <c r="B5" s="54"/>
      <c r="C5" s="54"/>
      <c r="D5" s="54"/>
      <c r="E5" s="54"/>
      <c r="F5" s="54"/>
      <c r="G5" s="54"/>
      <c r="H5" s="54"/>
      <c r="I5" s="54"/>
      <c r="J5" s="54"/>
      <c r="K5" s="54"/>
      <c r="L5" s="54"/>
      <c r="M5" s="54"/>
      <c r="N5" s="54"/>
      <c r="O5" s="54"/>
      <c r="P5" s="55"/>
    </row>
    <row r="6" spans="1:16">
      <c r="A6" s="53"/>
      <c r="B6" s="54"/>
      <c r="C6" s="54"/>
      <c r="D6" s="54"/>
      <c r="E6" s="54"/>
      <c r="F6" s="54"/>
      <c r="G6" s="54"/>
      <c r="H6" s="54"/>
      <c r="I6" s="54"/>
      <c r="J6" s="54"/>
      <c r="K6" s="54"/>
      <c r="L6" s="54"/>
      <c r="M6" s="54"/>
      <c r="N6" s="54"/>
      <c r="O6" s="54"/>
      <c r="P6" s="55"/>
    </row>
    <row r="7" spans="1:16">
      <c r="A7" s="53"/>
      <c r="B7" s="54"/>
      <c r="C7" s="54"/>
      <c r="D7" s="54"/>
      <c r="E7" s="54"/>
      <c r="F7" s="54"/>
      <c r="G7" s="54"/>
      <c r="H7" s="54"/>
      <c r="I7" s="54"/>
      <c r="J7" s="54"/>
      <c r="K7" s="54"/>
      <c r="L7" s="54"/>
      <c r="M7" s="54"/>
      <c r="N7" s="54"/>
      <c r="O7" s="54"/>
      <c r="P7" s="55"/>
    </row>
    <row r="8" spans="1:16">
      <c r="A8" s="53"/>
      <c r="B8" s="54"/>
      <c r="C8" s="54"/>
      <c r="D8" s="54"/>
      <c r="E8" s="54"/>
      <c r="F8" s="54"/>
      <c r="G8" s="54"/>
      <c r="H8" s="54"/>
      <c r="I8" s="54"/>
      <c r="J8" s="54"/>
      <c r="K8" s="54"/>
      <c r="L8" s="54"/>
      <c r="M8" s="54"/>
      <c r="N8" s="54"/>
      <c r="O8" s="54"/>
      <c r="P8" s="55"/>
    </row>
    <row r="9" spans="1:16" ht="21">
      <c r="A9" s="53"/>
      <c r="B9" s="360" t="s">
        <v>820</v>
      </c>
      <c r="C9" s="360"/>
      <c r="D9" s="360"/>
      <c r="E9" s="360"/>
      <c r="F9" s="54"/>
      <c r="G9" s="54"/>
      <c r="H9" s="54"/>
      <c r="I9" s="54"/>
      <c r="J9" s="54"/>
      <c r="K9" s="54"/>
      <c r="L9" s="54"/>
      <c r="M9" s="54"/>
      <c r="N9" s="54"/>
      <c r="O9" s="54"/>
      <c r="P9" s="55"/>
    </row>
    <row r="10" spans="1:16">
      <c r="A10" s="53"/>
      <c r="B10" s="54"/>
      <c r="C10" s="59" t="s">
        <v>26</v>
      </c>
      <c r="D10" s="54"/>
      <c r="E10" s="54"/>
      <c r="F10" s="54"/>
      <c r="G10" s="54"/>
      <c r="H10" s="54"/>
      <c r="I10" s="54"/>
      <c r="J10" s="54"/>
      <c r="K10" s="54"/>
      <c r="L10" s="54"/>
      <c r="M10" s="54"/>
      <c r="N10" s="54"/>
      <c r="O10" s="54"/>
      <c r="P10" s="55"/>
    </row>
    <row r="11" spans="1:16">
      <c r="A11" s="53"/>
      <c r="B11" s="54"/>
      <c r="C11" s="59" t="s">
        <v>27</v>
      </c>
      <c r="D11" s="54"/>
      <c r="E11" s="54"/>
      <c r="F11" s="54"/>
      <c r="G11" s="54"/>
      <c r="H11" s="54"/>
      <c r="I11" s="54"/>
      <c r="J11" s="54"/>
      <c r="K11" s="54"/>
      <c r="L11" s="54"/>
      <c r="M11" s="54"/>
      <c r="N11" s="54"/>
      <c r="O11" s="54"/>
      <c r="P11" s="55"/>
    </row>
    <row r="12" spans="1:16">
      <c r="A12" s="53"/>
      <c r="B12" s="54"/>
      <c r="C12" s="59" t="s">
        <v>28</v>
      </c>
      <c r="D12" s="54"/>
      <c r="E12" s="54"/>
      <c r="F12" s="54"/>
      <c r="G12" s="54"/>
      <c r="H12" s="54"/>
      <c r="I12" s="54"/>
      <c r="J12" s="54"/>
      <c r="K12" s="54"/>
      <c r="L12" s="54"/>
      <c r="M12" s="54"/>
      <c r="N12" s="54"/>
      <c r="O12" s="54"/>
      <c r="P12" s="55"/>
    </row>
    <row r="13" spans="1:16">
      <c r="A13" s="53"/>
      <c r="B13" s="54"/>
      <c r="C13" s="59" t="s">
        <v>29</v>
      </c>
      <c r="D13" s="54"/>
      <c r="E13" s="54"/>
      <c r="F13" s="54"/>
      <c r="G13" s="54"/>
      <c r="H13" s="54"/>
      <c r="I13" s="54"/>
      <c r="J13" s="54"/>
      <c r="K13" s="54"/>
      <c r="L13" s="54"/>
      <c r="M13" s="54"/>
      <c r="N13" s="54"/>
      <c r="O13" s="54"/>
      <c r="P13" s="55"/>
    </row>
    <row r="14" spans="1:16">
      <c r="A14" s="53"/>
      <c r="B14" s="54"/>
      <c r="C14" s="59" t="s">
        <v>30</v>
      </c>
      <c r="D14" s="54"/>
      <c r="E14" s="54"/>
      <c r="F14" s="54"/>
      <c r="G14" s="54"/>
      <c r="H14" s="54"/>
      <c r="I14" s="54"/>
      <c r="J14" s="54"/>
      <c r="K14" s="54"/>
      <c r="L14" s="54"/>
      <c r="M14" s="54"/>
      <c r="N14" s="54"/>
      <c r="O14" s="54"/>
      <c r="P14" s="55"/>
    </row>
    <row r="15" spans="1:16">
      <c r="A15" s="53"/>
      <c r="B15" s="54"/>
      <c r="C15" s="59" t="s">
        <v>31</v>
      </c>
      <c r="D15" s="54"/>
      <c r="E15" s="54"/>
      <c r="F15" s="54"/>
      <c r="G15" s="54"/>
      <c r="H15" s="54"/>
      <c r="I15" s="54"/>
      <c r="J15" s="54"/>
      <c r="K15" s="54"/>
      <c r="L15" s="54"/>
      <c r="M15" s="54"/>
      <c r="N15" s="54"/>
      <c r="O15" s="54"/>
      <c r="P15" s="55"/>
    </row>
    <row r="16" spans="1:16">
      <c r="A16" s="53"/>
      <c r="B16" s="54"/>
      <c r="C16" s="54"/>
      <c r="D16" s="54"/>
      <c r="E16" s="54"/>
      <c r="F16" s="54"/>
      <c r="G16" s="54"/>
      <c r="H16" s="54"/>
      <c r="I16" s="54"/>
      <c r="J16" s="54"/>
      <c r="K16" s="54"/>
      <c r="L16" s="54"/>
      <c r="M16" s="54"/>
      <c r="N16" s="54"/>
      <c r="O16" s="54"/>
      <c r="P16" s="55"/>
    </row>
    <row r="17" spans="1:16">
      <c r="A17" s="53"/>
      <c r="B17" s="54"/>
      <c r="C17" s="54"/>
      <c r="D17" s="54"/>
      <c r="E17" s="63" t="s">
        <v>47</v>
      </c>
      <c r="F17" s="363" t="s">
        <v>828</v>
      </c>
      <c r="G17" s="363"/>
      <c r="H17" s="363"/>
      <c r="I17" s="363"/>
      <c r="J17" s="363"/>
      <c r="K17" s="363"/>
      <c r="L17" s="54"/>
      <c r="M17" s="54"/>
      <c r="N17" s="54"/>
      <c r="O17" s="54"/>
      <c r="P17" s="55"/>
    </row>
    <row r="18" spans="1:16">
      <c r="A18" s="53"/>
      <c r="B18" s="54"/>
      <c r="C18" s="54"/>
      <c r="D18" s="54"/>
      <c r="E18" s="63" t="s">
        <v>35</v>
      </c>
      <c r="F18" s="363" t="s">
        <v>829</v>
      </c>
      <c r="G18" s="363"/>
      <c r="H18" s="363"/>
      <c r="I18" s="363"/>
      <c r="J18" s="363"/>
      <c r="K18" s="363"/>
      <c r="L18" s="96"/>
      <c r="M18" s="54"/>
      <c r="N18" s="54"/>
      <c r="O18" s="54"/>
      <c r="P18" s="55"/>
    </row>
    <row r="19" spans="1:16" ht="3.95" customHeight="1" thickBot="1">
      <c r="A19" s="56"/>
      <c r="B19" s="57"/>
      <c r="C19" s="57"/>
      <c r="D19" s="57"/>
      <c r="E19" s="57"/>
      <c r="F19" s="57"/>
      <c r="G19" s="57"/>
      <c r="H19" s="57"/>
      <c r="I19" s="57"/>
      <c r="J19" s="57"/>
      <c r="K19" s="57"/>
      <c r="L19" s="57"/>
      <c r="M19" s="57"/>
      <c r="N19" s="57"/>
      <c r="O19" s="57"/>
      <c r="P19" s="58"/>
    </row>
    <row r="20" spans="1:16" ht="18.75">
      <c r="A20" s="40"/>
      <c r="B20" s="41" t="s">
        <v>0</v>
      </c>
      <c r="C20" s="42"/>
      <c r="D20" s="42"/>
      <c r="E20" s="42"/>
      <c r="F20" s="42"/>
      <c r="G20" s="42"/>
      <c r="H20" s="42"/>
      <c r="I20" s="42"/>
      <c r="J20" s="42"/>
      <c r="K20" s="42"/>
      <c r="L20" s="42"/>
      <c r="M20" s="42"/>
      <c r="N20" s="42"/>
      <c r="O20" s="42"/>
      <c r="P20" s="43"/>
    </row>
    <row r="21" spans="1:16">
      <c r="A21" s="44"/>
      <c r="B21" s="45"/>
      <c r="C21" s="45" t="s">
        <v>269</v>
      </c>
      <c r="D21" s="45"/>
      <c r="E21" s="45"/>
      <c r="F21" s="45"/>
      <c r="G21" s="45"/>
      <c r="H21" s="45"/>
      <c r="I21" s="45"/>
      <c r="J21" s="45"/>
      <c r="K21" s="45"/>
      <c r="L21" s="45"/>
      <c r="M21" s="45"/>
      <c r="N21" s="45"/>
      <c r="O21" s="45"/>
      <c r="P21" s="46"/>
    </row>
    <row r="22" spans="1:16">
      <c r="A22" s="44"/>
      <c r="B22" s="45"/>
      <c r="C22" s="45" t="s">
        <v>700</v>
      </c>
      <c r="D22" s="45"/>
      <c r="E22" s="45"/>
      <c r="F22" s="45"/>
      <c r="G22" s="45"/>
      <c r="H22" s="45"/>
      <c r="I22" s="45"/>
      <c r="J22" s="45"/>
      <c r="K22" s="45"/>
      <c r="L22" s="45"/>
      <c r="M22" s="45"/>
      <c r="N22" s="45"/>
      <c r="O22" s="45"/>
      <c r="P22" s="46"/>
    </row>
    <row r="23" spans="1:16">
      <c r="A23" s="44"/>
      <c r="B23" s="45"/>
      <c r="C23" s="45" t="s">
        <v>616</v>
      </c>
      <c r="D23" s="45"/>
      <c r="E23" s="45"/>
      <c r="F23" s="45"/>
      <c r="G23" s="45"/>
      <c r="H23" s="45"/>
      <c r="I23" s="45"/>
      <c r="J23" s="45"/>
      <c r="K23" s="45"/>
      <c r="L23" s="45"/>
      <c r="M23" s="45"/>
      <c r="N23" s="45"/>
      <c r="O23" s="45"/>
      <c r="P23" s="46"/>
    </row>
    <row r="24" spans="1:16">
      <c r="A24" s="44"/>
      <c r="B24" s="45"/>
      <c r="C24" s="45" t="s">
        <v>757</v>
      </c>
      <c r="D24" s="45"/>
      <c r="E24" s="45"/>
      <c r="F24" s="45"/>
      <c r="G24" s="45"/>
      <c r="H24" s="45"/>
      <c r="I24" s="45"/>
      <c r="J24" s="45"/>
      <c r="K24" s="45"/>
      <c r="L24" s="45"/>
      <c r="M24" s="45"/>
      <c r="N24" s="45"/>
      <c r="O24" s="45"/>
      <c r="P24" s="46"/>
    </row>
    <row r="25" spans="1:16" ht="15.75" thickBot="1">
      <c r="A25" s="47"/>
      <c r="B25" s="48"/>
      <c r="C25" s="48" t="s">
        <v>830</v>
      </c>
      <c r="D25" s="48"/>
      <c r="E25" s="48"/>
      <c r="F25" s="48"/>
      <c r="G25" s="48"/>
      <c r="H25" s="48"/>
      <c r="I25" s="48"/>
      <c r="J25" s="48"/>
      <c r="K25" s="48"/>
      <c r="L25" s="48"/>
      <c r="M25" s="48"/>
      <c r="N25" s="48"/>
      <c r="O25" s="48"/>
      <c r="P25" s="49"/>
    </row>
    <row r="26" spans="1:16" ht="18.75">
      <c r="A26" s="30"/>
      <c r="B26" s="31" t="s">
        <v>2</v>
      </c>
      <c r="C26" s="32"/>
      <c r="D26" s="32"/>
      <c r="E26" s="32"/>
      <c r="F26" s="32"/>
      <c r="G26" s="32"/>
      <c r="H26" s="32"/>
      <c r="I26" s="32"/>
      <c r="J26" s="32"/>
      <c r="K26" s="32"/>
      <c r="L26" s="32"/>
      <c r="M26" s="32"/>
      <c r="N26" s="32"/>
      <c r="O26" s="32"/>
      <c r="P26" s="33"/>
    </row>
    <row r="27" spans="1:16">
      <c r="A27" s="34"/>
      <c r="B27" s="35"/>
      <c r="C27" s="35" t="s">
        <v>821</v>
      </c>
      <c r="D27" s="35"/>
      <c r="E27" s="35"/>
      <c r="F27" s="35"/>
      <c r="G27" s="35"/>
      <c r="H27" s="35"/>
      <c r="I27" s="35"/>
      <c r="J27" s="35"/>
      <c r="K27" s="35"/>
      <c r="L27" s="35"/>
      <c r="M27" s="35"/>
      <c r="N27" s="35"/>
      <c r="O27" s="35"/>
      <c r="P27" s="36"/>
    </row>
    <row r="28" spans="1:16">
      <c r="A28" s="34"/>
      <c r="B28" s="35"/>
      <c r="C28" s="35" t="s">
        <v>822</v>
      </c>
      <c r="D28" s="35"/>
      <c r="E28" s="35"/>
      <c r="F28" s="35"/>
      <c r="G28" s="35"/>
      <c r="H28" s="35"/>
      <c r="I28" s="35"/>
      <c r="J28" s="35"/>
      <c r="K28" s="35"/>
      <c r="L28" s="35"/>
      <c r="M28" s="35"/>
      <c r="N28" s="35"/>
      <c r="O28" s="35"/>
      <c r="P28" s="36"/>
    </row>
    <row r="29" spans="1:16">
      <c r="A29" s="34"/>
      <c r="B29" s="35"/>
      <c r="C29" s="35" t="s">
        <v>697</v>
      </c>
      <c r="D29" s="35"/>
      <c r="E29" s="35"/>
      <c r="F29" s="35"/>
      <c r="G29" s="35"/>
      <c r="H29" s="35"/>
      <c r="I29" s="35"/>
      <c r="J29" s="35"/>
      <c r="K29" s="35"/>
      <c r="L29" s="35"/>
      <c r="M29" s="35"/>
      <c r="N29" s="35"/>
      <c r="O29" s="35"/>
      <c r="P29" s="36"/>
    </row>
    <row r="30" spans="1:16" ht="3.95" customHeight="1" thickBot="1">
      <c r="A30" s="37"/>
      <c r="B30" s="38"/>
      <c r="C30" s="38"/>
      <c r="D30" s="38"/>
      <c r="E30" s="38"/>
      <c r="F30" s="38"/>
      <c r="G30" s="38"/>
      <c r="H30" s="38"/>
      <c r="I30" s="38"/>
      <c r="J30" s="38"/>
      <c r="K30" s="38"/>
      <c r="L30" s="38"/>
      <c r="M30" s="38"/>
      <c r="N30" s="38"/>
      <c r="O30" s="38"/>
      <c r="P30" s="39"/>
    </row>
    <row r="31" spans="1:16" ht="18.75">
      <c r="A31" s="19"/>
      <c r="B31" s="20" t="s">
        <v>1</v>
      </c>
      <c r="C31" s="21"/>
      <c r="D31" s="21"/>
      <c r="E31" s="21"/>
      <c r="F31" s="21"/>
      <c r="G31" s="21"/>
      <c r="H31" s="21"/>
      <c r="I31" s="21"/>
      <c r="J31" s="21"/>
      <c r="K31" s="21"/>
      <c r="L31" s="21"/>
      <c r="M31" s="21"/>
      <c r="N31" s="21"/>
      <c r="O31" s="21"/>
      <c r="P31" s="22"/>
    </row>
    <row r="32" spans="1:16">
      <c r="A32" s="23"/>
      <c r="B32" s="24"/>
      <c r="C32" s="24" t="s">
        <v>3</v>
      </c>
      <c r="D32" s="24"/>
      <c r="E32" s="24"/>
      <c r="F32" s="24"/>
      <c r="G32" s="24"/>
      <c r="H32" s="24"/>
      <c r="I32" s="24"/>
      <c r="J32" s="24"/>
      <c r="K32" s="24"/>
      <c r="L32" s="24"/>
      <c r="M32" s="24"/>
      <c r="N32" s="24"/>
      <c r="O32" s="24"/>
      <c r="P32" s="25"/>
    </row>
    <row r="33" spans="1:26">
      <c r="A33" s="23"/>
      <c r="B33" s="24"/>
      <c r="C33" s="24" t="s">
        <v>10</v>
      </c>
      <c r="D33" s="24"/>
      <c r="E33" s="24"/>
      <c r="F33" s="24"/>
      <c r="G33" s="24"/>
      <c r="H33" s="24"/>
      <c r="I33" s="24"/>
      <c r="J33" s="24"/>
      <c r="K33" s="24"/>
      <c r="L33" s="24"/>
      <c r="M33" s="24"/>
      <c r="N33" s="24"/>
      <c r="O33" s="24"/>
      <c r="P33" s="25"/>
    </row>
    <row r="34" spans="1:26">
      <c r="A34" s="23"/>
      <c r="B34" s="24"/>
      <c r="C34" s="24" t="s">
        <v>268</v>
      </c>
      <c r="D34" s="24"/>
      <c r="E34" s="24"/>
      <c r="F34" s="24"/>
      <c r="G34" s="24"/>
      <c r="H34" s="24"/>
      <c r="I34" s="24"/>
      <c r="J34" s="24"/>
      <c r="K34" s="24"/>
      <c r="L34" s="24"/>
      <c r="M34" s="24"/>
      <c r="N34" s="24"/>
      <c r="O34" s="24"/>
      <c r="P34" s="25"/>
    </row>
    <row r="35" spans="1:26" ht="15.75">
      <c r="A35" s="23"/>
      <c r="B35" s="24"/>
      <c r="C35" s="24" t="s">
        <v>9</v>
      </c>
      <c r="D35" s="24"/>
      <c r="E35" s="24"/>
      <c r="F35" s="24"/>
      <c r="G35" s="24"/>
      <c r="H35" s="24"/>
      <c r="I35" s="26" t="s">
        <v>4</v>
      </c>
      <c r="J35" s="24"/>
      <c r="K35" s="24"/>
      <c r="L35" s="24"/>
      <c r="M35" s="24"/>
      <c r="N35" s="24"/>
      <c r="O35" s="24"/>
      <c r="P35" s="25"/>
    </row>
    <row r="36" spans="1:26" ht="15.75">
      <c r="A36" s="23"/>
      <c r="B36" s="24"/>
      <c r="C36" s="24" t="s">
        <v>617</v>
      </c>
      <c r="D36" s="24"/>
      <c r="E36" s="24"/>
      <c r="F36" s="24"/>
      <c r="G36" s="24"/>
      <c r="H36" s="24"/>
      <c r="I36" s="306" t="s">
        <v>5</v>
      </c>
      <c r="J36" s="24"/>
      <c r="K36" s="24"/>
      <c r="L36" s="24"/>
      <c r="M36" s="24"/>
      <c r="N36" s="24"/>
      <c r="O36" s="24"/>
      <c r="P36" s="25"/>
    </row>
    <row r="37" spans="1:26" ht="15.75">
      <c r="A37" s="23"/>
      <c r="B37" s="24"/>
      <c r="C37" s="24" t="s">
        <v>12</v>
      </c>
      <c r="D37" s="24"/>
      <c r="E37" s="24"/>
      <c r="F37" s="24"/>
      <c r="G37" s="24"/>
      <c r="H37" s="24"/>
      <c r="I37" s="26"/>
      <c r="J37" s="24"/>
      <c r="K37" s="24"/>
      <c r="L37" s="24"/>
      <c r="M37" s="24"/>
      <c r="N37" s="24"/>
      <c r="O37" s="24"/>
      <c r="P37" s="25"/>
    </row>
    <row r="38" spans="1:26" ht="15.75">
      <c r="A38" s="23"/>
      <c r="B38" s="24"/>
      <c r="C38" s="24"/>
      <c r="D38" s="24"/>
      <c r="E38" s="24"/>
      <c r="F38" s="24"/>
      <c r="G38" s="24"/>
      <c r="H38" s="24"/>
      <c r="I38" s="26"/>
      <c r="J38" s="24"/>
      <c r="K38" s="24"/>
      <c r="L38" s="24"/>
      <c r="M38" s="24"/>
      <c r="N38" s="24"/>
      <c r="O38" s="24"/>
      <c r="P38" s="25"/>
    </row>
    <row r="39" spans="1:26" ht="16.5" thickBot="1">
      <c r="A39" s="23"/>
      <c r="B39" s="126" t="s">
        <v>257</v>
      </c>
      <c r="C39" s="24"/>
      <c r="D39" s="24"/>
      <c r="E39" s="24"/>
      <c r="F39" s="24"/>
      <c r="G39" s="24"/>
      <c r="H39" s="24"/>
      <c r="I39" s="26"/>
      <c r="J39" s="24"/>
      <c r="K39" s="24"/>
      <c r="L39" s="24"/>
      <c r="M39" s="24"/>
      <c r="N39" s="24"/>
      <c r="O39" s="24"/>
      <c r="P39" s="25"/>
    </row>
    <row r="40" spans="1:26" ht="16.5" thickBot="1">
      <c r="A40" s="23"/>
      <c r="B40" s="127" t="s">
        <v>4</v>
      </c>
      <c r="C40" s="361" t="s">
        <v>124</v>
      </c>
      <c r="D40" s="362"/>
      <c r="E40" s="127" t="s">
        <v>4</v>
      </c>
      <c r="F40" s="361" t="s">
        <v>125</v>
      </c>
      <c r="G40" s="362"/>
      <c r="H40" s="127" t="s">
        <v>4</v>
      </c>
      <c r="I40" s="361" t="s">
        <v>337</v>
      </c>
      <c r="J40" s="362"/>
      <c r="K40" s="127" t="s">
        <v>4</v>
      </c>
      <c r="L40" s="361" t="s">
        <v>126</v>
      </c>
      <c r="M40" s="362"/>
      <c r="N40" s="24"/>
      <c r="O40" s="24"/>
      <c r="P40" s="25"/>
    </row>
    <row r="41" spans="1:26" ht="3.95" customHeight="1">
      <c r="A41" s="23"/>
      <c r="B41" s="24"/>
      <c r="C41" s="126"/>
      <c r="D41" s="24"/>
      <c r="E41" s="24"/>
      <c r="F41" s="24"/>
      <c r="G41" s="24"/>
      <c r="H41" s="24"/>
      <c r="I41" s="26"/>
      <c r="J41" s="24"/>
      <c r="K41" s="24"/>
      <c r="L41" s="126"/>
      <c r="M41" s="265"/>
      <c r="N41" s="24"/>
      <c r="O41" s="24"/>
      <c r="P41" s="25"/>
    </row>
    <row r="42" spans="1:26" ht="15.75" customHeight="1" thickBot="1">
      <c r="A42" s="27"/>
      <c r="B42" s="28"/>
      <c r="C42" s="28"/>
      <c r="D42" s="28"/>
      <c r="E42" s="28"/>
      <c r="F42" s="28"/>
      <c r="G42" s="28"/>
      <c r="H42" s="28"/>
      <c r="I42" s="28"/>
      <c r="J42" s="28"/>
      <c r="K42" s="28"/>
      <c r="L42" s="28"/>
      <c r="M42" s="28"/>
      <c r="N42" s="28"/>
      <c r="O42" s="28"/>
      <c r="P42" s="29"/>
    </row>
    <row r="43" spans="1:26" ht="18.75">
      <c r="A43" s="9"/>
      <c r="B43" s="10" t="s">
        <v>8</v>
      </c>
      <c r="C43" s="11"/>
      <c r="D43" s="11"/>
      <c r="E43" s="11"/>
      <c r="F43" s="11"/>
      <c r="G43" s="11"/>
      <c r="H43" s="11"/>
      <c r="I43" s="11"/>
      <c r="J43" s="11"/>
      <c r="K43" s="11"/>
      <c r="L43" s="11"/>
      <c r="M43" s="11"/>
      <c r="N43" s="11"/>
      <c r="O43" s="11"/>
      <c r="P43" s="12"/>
    </row>
    <row r="44" spans="1:26">
      <c r="A44" s="13"/>
      <c r="B44" s="14"/>
      <c r="C44" s="14"/>
      <c r="D44" s="14"/>
      <c r="E44" s="14"/>
      <c r="F44" s="14"/>
      <c r="G44" s="14"/>
      <c r="H44" s="14"/>
      <c r="I44" s="14"/>
      <c r="J44" s="14"/>
      <c r="K44" s="14"/>
      <c r="L44" s="14"/>
      <c r="M44" s="14"/>
      <c r="N44" s="14"/>
      <c r="O44" s="14"/>
      <c r="P44" s="15"/>
    </row>
    <row r="45" spans="1:26" ht="15.75">
      <c r="A45" s="13"/>
      <c r="B45" s="14"/>
      <c r="C45" s="14"/>
      <c r="D45" s="14"/>
      <c r="E45" s="14"/>
      <c r="F45" s="14"/>
      <c r="G45" s="14"/>
      <c r="H45" s="14"/>
      <c r="I45" s="14"/>
      <c r="J45" s="14"/>
      <c r="K45" s="14"/>
      <c r="L45" s="14"/>
      <c r="M45" s="14"/>
      <c r="N45" s="14"/>
      <c r="O45" s="14"/>
      <c r="P45" s="15"/>
      <c r="Z45" s="146"/>
    </row>
    <row r="46" spans="1:26">
      <c r="A46" s="13"/>
      <c r="B46" s="14"/>
      <c r="C46" s="14"/>
      <c r="D46" s="14"/>
      <c r="E46" s="14"/>
      <c r="F46" s="14"/>
      <c r="G46" s="14"/>
      <c r="H46" s="14"/>
      <c r="I46" s="14"/>
      <c r="J46" s="14"/>
      <c r="K46" s="14"/>
      <c r="L46" s="14"/>
      <c r="M46" s="14"/>
      <c r="N46" s="14"/>
      <c r="O46" s="14"/>
      <c r="P46" s="15"/>
    </row>
    <row r="47" spans="1:26">
      <c r="A47" s="13"/>
      <c r="B47" s="14"/>
      <c r="C47" s="14"/>
      <c r="D47" s="14"/>
      <c r="E47" s="14"/>
      <c r="F47" s="14"/>
      <c r="G47" s="14"/>
      <c r="H47" s="14"/>
      <c r="I47" s="14"/>
      <c r="J47" s="14"/>
      <c r="K47" s="14"/>
      <c r="L47" s="14"/>
      <c r="M47" s="14"/>
      <c r="N47" s="14"/>
      <c r="O47" s="14"/>
      <c r="P47" s="15"/>
    </row>
    <row r="48" spans="1:26">
      <c r="A48" s="13"/>
      <c r="B48" s="14"/>
      <c r="C48" s="14"/>
      <c r="D48" s="14"/>
      <c r="E48" s="14"/>
      <c r="F48" s="14"/>
      <c r="G48" s="14"/>
      <c r="H48" s="14"/>
      <c r="I48" s="14"/>
      <c r="J48" s="14"/>
      <c r="K48" s="14"/>
      <c r="L48" s="14"/>
      <c r="M48" s="14"/>
      <c r="N48" s="14"/>
      <c r="O48" s="14"/>
      <c r="P48" s="15"/>
    </row>
    <row r="49" spans="1:16">
      <c r="A49" s="13"/>
      <c r="B49" s="14"/>
      <c r="C49" s="14"/>
      <c r="D49" s="14"/>
      <c r="E49" s="14"/>
      <c r="F49" s="14"/>
      <c r="G49" s="14"/>
      <c r="H49" s="14"/>
      <c r="I49" s="14"/>
      <c r="J49" s="14"/>
      <c r="K49" s="14"/>
      <c r="L49" s="14"/>
      <c r="M49" s="14"/>
      <c r="N49" s="14"/>
      <c r="O49" s="14"/>
      <c r="P49" s="15"/>
    </row>
    <row r="50" spans="1:16" ht="18.75">
      <c r="A50" s="13"/>
      <c r="B50" s="264" t="s">
        <v>615</v>
      </c>
      <c r="C50" s="14"/>
      <c r="D50" s="14"/>
      <c r="E50" s="14"/>
      <c r="F50" s="14"/>
      <c r="G50" s="14"/>
      <c r="H50" s="14"/>
      <c r="I50" s="14"/>
      <c r="J50" s="14"/>
      <c r="K50" s="14"/>
      <c r="L50" s="14"/>
      <c r="M50" s="14"/>
      <c r="N50" s="14"/>
      <c r="O50" s="14"/>
      <c r="P50" s="15"/>
    </row>
    <row r="51" spans="1:16">
      <c r="A51" s="13"/>
      <c r="B51" s="14"/>
      <c r="C51" s="14"/>
      <c r="D51" s="14"/>
      <c r="E51" s="14"/>
      <c r="F51" s="14"/>
      <c r="G51" s="14"/>
      <c r="H51" s="14"/>
      <c r="I51" s="14"/>
      <c r="J51" s="14"/>
      <c r="K51" s="14"/>
      <c r="L51" s="14"/>
      <c r="M51" s="14"/>
      <c r="N51" s="14"/>
      <c r="O51" s="14"/>
      <c r="P51" s="15"/>
    </row>
    <row r="52" spans="1:16">
      <c r="A52" s="13"/>
      <c r="B52" s="14"/>
      <c r="C52" s="14"/>
      <c r="D52" s="14"/>
      <c r="E52" s="14"/>
      <c r="F52" s="14"/>
      <c r="G52" s="14"/>
      <c r="H52" s="14"/>
      <c r="I52" s="14"/>
      <c r="J52" s="14"/>
      <c r="K52" s="14"/>
      <c r="L52" s="14"/>
      <c r="M52" s="14"/>
      <c r="N52" s="14"/>
      <c r="O52" s="14"/>
      <c r="P52" s="15"/>
    </row>
    <row r="53" spans="1:16" ht="15.75" thickBot="1">
      <c r="A53" s="16"/>
      <c r="B53" s="17"/>
      <c r="C53" s="17"/>
      <c r="D53" s="17"/>
      <c r="E53" s="17"/>
      <c r="F53" s="17"/>
      <c r="G53" s="17"/>
      <c r="H53" s="17"/>
      <c r="I53" s="17"/>
      <c r="J53" s="17"/>
      <c r="K53" s="17"/>
      <c r="L53" s="17"/>
      <c r="M53" s="17"/>
      <c r="N53" s="17"/>
      <c r="O53" s="17"/>
      <c r="P53" s="18"/>
    </row>
    <row r="54" spans="1:16" ht="18.75">
      <c r="A54" s="1"/>
      <c r="B54" s="60" t="s">
        <v>6</v>
      </c>
      <c r="C54" s="61"/>
      <c r="D54" s="61"/>
      <c r="E54" s="61"/>
      <c r="F54" s="61"/>
      <c r="G54" s="61"/>
      <c r="H54" s="61"/>
      <c r="I54" s="61"/>
      <c r="J54" s="61"/>
      <c r="K54" s="61"/>
      <c r="L54" s="61"/>
      <c r="M54" s="61"/>
      <c r="N54" s="61"/>
      <c r="O54" s="2"/>
      <c r="P54" s="3"/>
    </row>
    <row r="55" spans="1:16">
      <c r="A55" s="4"/>
      <c r="B55" s="138"/>
      <c r="C55" s="139" t="s">
        <v>7</v>
      </c>
      <c r="D55" s="138" t="s">
        <v>296</v>
      </c>
      <c r="E55" s="138"/>
      <c r="F55" s="138"/>
      <c r="G55" s="138"/>
      <c r="H55" s="138"/>
      <c r="I55" s="138"/>
      <c r="J55" s="138"/>
      <c r="K55" s="138"/>
      <c r="L55" s="138"/>
      <c r="M55" s="138"/>
      <c r="N55" s="138"/>
      <c r="O55" s="137"/>
      <c r="P55" s="5"/>
    </row>
    <row r="56" spans="1:16">
      <c r="A56" s="4"/>
      <c r="B56" s="138"/>
      <c r="C56" s="139" t="s">
        <v>328</v>
      </c>
      <c r="D56" s="138" t="s">
        <v>336</v>
      </c>
      <c r="E56" s="138"/>
      <c r="F56" s="138"/>
      <c r="G56" s="138"/>
      <c r="H56" s="138"/>
      <c r="I56" s="138"/>
      <c r="J56" s="138"/>
      <c r="K56" s="138"/>
      <c r="L56" s="138"/>
      <c r="M56" s="138"/>
      <c r="N56" s="138"/>
      <c r="O56" s="137"/>
      <c r="P56" s="5"/>
    </row>
    <row r="57" spans="1:16">
      <c r="A57" s="4"/>
      <c r="B57" s="138"/>
      <c r="C57" s="139" t="s">
        <v>293</v>
      </c>
      <c r="D57" s="138" t="s">
        <v>294</v>
      </c>
      <c r="E57" s="138"/>
      <c r="F57" s="138"/>
      <c r="G57" s="138"/>
      <c r="H57" s="138"/>
      <c r="I57" s="138"/>
      <c r="J57" s="138"/>
      <c r="K57" s="138"/>
      <c r="L57" s="138"/>
      <c r="M57" s="138"/>
      <c r="N57" s="138"/>
      <c r="O57" s="137"/>
      <c r="P57" s="5"/>
    </row>
    <row r="58" spans="1:16" ht="15.75" thickBot="1">
      <c r="A58" s="6"/>
      <c r="B58" s="62"/>
      <c r="C58" s="131" t="s">
        <v>162</v>
      </c>
      <c r="D58" s="62" t="s">
        <v>295</v>
      </c>
      <c r="E58" s="62"/>
      <c r="F58" s="62"/>
      <c r="G58" s="62"/>
      <c r="H58" s="62"/>
      <c r="I58" s="62"/>
      <c r="J58" s="62"/>
      <c r="K58" s="62"/>
      <c r="L58" s="62"/>
      <c r="M58" s="62"/>
      <c r="N58" s="62"/>
      <c r="O58" s="7"/>
      <c r="P58" s="8"/>
    </row>
  </sheetData>
  <mergeCells count="7">
    <mergeCell ref="B9:E9"/>
    <mergeCell ref="L40:M40"/>
    <mergeCell ref="F17:K17"/>
    <mergeCell ref="F18:K18"/>
    <mergeCell ref="C40:D40"/>
    <mergeCell ref="F40:G40"/>
    <mergeCell ref="I40:J40"/>
  </mergeCells>
  <conditionalFormatting sqref="B40">
    <cfRule type="expression" dxfId="66" priority="4">
      <formula>$H$100="No"</formula>
    </cfRule>
  </conditionalFormatting>
  <conditionalFormatting sqref="E40">
    <cfRule type="expression" dxfId="65" priority="3">
      <formula>$H$100="No"</formula>
    </cfRule>
  </conditionalFormatting>
  <conditionalFormatting sqref="H40">
    <cfRule type="expression" dxfId="64" priority="2">
      <formula>$H$100="No"</formula>
    </cfRule>
  </conditionalFormatting>
  <conditionalFormatting sqref="K40">
    <cfRule type="expression" dxfId="63" priority="1">
      <formula>$H$100="No"</formula>
    </cfRule>
  </conditionalFormatting>
  <dataValidations count="2">
    <dataValidation type="whole" allowBlank="1" showInputMessage="1" showErrorMessage="1" error="Please add a valid charity _x000a_number" sqref="L18" xr:uid="{E9A1D4C8-01DB-4AE7-805B-092F300F0271}">
      <formula1>0</formula1>
      <formula2>9999999</formula2>
    </dataValidation>
    <dataValidation type="whole" errorStyle="warning" allowBlank="1" showInputMessage="1" showErrorMessage="1" error="Please entire your charity number." sqref="F18:K18" xr:uid="{F8FD4476-4BE1-49E6-A0AB-32E90590F803}">
      <formula1>0</formula1>
      <formula2>9999999</formula2>
    </dataValidation>
  </dataValidations>
  <hyperlinks>
    <hyperlink ref="I36" r:id="rId1" xr:uid="{46F590D2-F294-4F03-88F3-D1ACCA77FDC5}"/>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4F62-3888-4648-A2B3-43D9DC23D223}">
  <sheetPr codeName="Sheet4">
    <tabColor theme="8" tint="0.79998168889431442"/>
  </sheetPr>
  <dimension ref="A1:N100"/>
  <sheetViews>
    <sheetView zoomScaleNormal="100" workbookViewId="0">
      <selection activeCell="B5" sqref="B5:C5"/>
    </sheetView>
  </sheetViews>
  <sheetFormatPr defaultRowHeight="15"/>
  <cols>
    <col min="1" max="1" width="6.7109375" customWidth="1"/>
    <col min="9" max="9" width="9.140625" customWidth="1"/>
    <col min="10" max="11" width="2.7109375" customWidth="1"/>
  </cols>
  <sheetData>
    <row r="1" spans="1:14">
      <c r="A1" s="40"/>
      <c r="B1" s="42"/>
      <c r="C1" s="42"/>
      <c r="D1" s="42"/>
      <c r="E1" s="42"/>
      <c r="F1" s="42"/>
      <c r="G1" s="42"/>
      <c r="H1" s="42"/>
      <c r="I1" s="42"/>
      <c r="J1" s="42"/>
      <c r="K1" s="42"/>
      <c r="L1" s="42"/>
      <c r="M1" s="42"/>
      <c r="N1" s="43"/>
    </row>
    <row r="2" spans="1:14">
      <c r="A2" s="44"/>
      <c r="B2" s="45"/>
      <c r="C2" s="45"/>
      <c r="D2" s="45"/>
      <c r="E2" s="45"/>
      <c r="F2" s="45"/>
      <c r="G2" s="45"/>
      <c r="H2" s="45"/>
      <c r="I2" s="45"/>
      <c r="J2" s="45"/>
      <c r="K2" s="45"/>
      <c r="L2" s="45"/>
      <c r="M2" s="45"/>
      <c r="N2" s="46"/>
    </row>
    <row r="3" spans="1:14">
      <c r="A3" s="44"/>
      <c r="B3" s="45"/>
      <c r="C3" s="45"/>
      <c r="D3" s="45"/>
      <c r="E3" s="45"/>
      <c r="F3" s="45"/>
      <c r="G3" s="45"/>
      <c r="H3" s="45"/>
      <c r="I3" s="45"/>
      <c r="J3" s="45"/>
      <c r="K3" s="45"/>
      <c r="L3" s="45"/>
      <c r="M3" s="45"/>
      <c r="N3" s="46"/>
    </row>
    <row r="4" spans="1:14">
      <c r="A4" s="44"/>
      <c r="B4" s="45"/>
      <c r="C4" s="45"/>
      <c r="D4" s="45"/>
      <c r="E4" s="45"/>
      <c r="F4" s="45"/>
      <c r="G4" s="45"/>
      <c r="H4" s="45"/>
      <c r="I4" s="45"/>
      <c r="J4" s="45"/>
      <c r="K4" s="45"/>
      <c r="L4" s="45"/>
      <c r="M4" s="45"/>
      <c r="N4" s="46"/>
    </row>
    <row r="5" spans="1:14" ht="21">
      <c r="A5" s="44"/>
      <c r="B5" s="365" t="s">
        <v>0</v>
      </c>
      <c r="C5" s="365"/>
      <c r="D5" s="45"/>
      <c r="E5" s="45"/>
      <c r="F5" s="45"/>
      <c r="G5" s="45"/>
      <c r="H5" s="45"/>
      <c r="I5" s="45"/>
      <c r="J5" s="45"/>
      <c r="K5" s="45"/>
      <c r="L5" s="45"/>
      <c r="M5" s="45"/>
      <c r="N5" s="46"/>
    </row>
    <row r="6" spans="1:14">
      <c r="A6" s="44"/>
      <c r="B6" s="367" t="str">
        <f>"Within this page, the framework assumes certain categories of personal data the charity collects. Whilst most data types will be generic to all charities, you may have a category not listed. Therefore, make a judgement if the information is deemed "&amp;'Privacy Essentials Introduction'!F40&amp;", "&amp;'Privacy Essentials Introduction'!I40&amp;" or "&amp;'Privacy Essentials Introduction'!L40&amp; " and include in Other data"</f>
        <v>Within this page, the framework assumes certain categories of personal data the charity collects. Whilst most data types will be generic to all charities, you may have a category not listed. Therefore, make a judgement if the information is deemed Personal, Personal-Sensitive or Confidential and include in Other data</v>
      </c>
      <c r="C6" s="367"/>
      <c r="D6" s="367"/>
      <c r="E6" s="367"/>
      <c r="F6" s="367"/>
      <c r="G6" s="367"/>
      <c r="H6" s="367"/>
      <c r="I6" s="367"/>
      <c r="J6" s="367"/>
      <c r="K6" s="367"/>
      <c r="L6" s="367"/>
      <c r="M6" s="367"/>
      <c r="N6" s="46"/>
    </row>
    <row r="7" spans="1:14">
      <c r="A7" s="44"/>
      <c r="B7" s="367"/>
      <c r="C7" s="367"/>
      <c r="D7" s="367"/>
      <c r="E7" s="367"/>
      <c r="F7" s="367"/>
      <c r="G7" s="367"/>
      <c r="H7" s="367"/>
      <c r="I7" s="367"/>
      <c r="J7" s="367"/>
      <c r="K7" s="367"/>
      <c r="L7" s="367"/>
      <c r="M7" s="367"/>
      <c r="N7" s="46"/>
    </row>
    <row r="8" spans="1:14">
      <c r="A8" s="44"/>
      <c r="B8" s="367"/>
      <c r="C8" s="367"/>
      <c r="D8" s="367"/>
      <c r="E8" s="367"/>
      <c r="F8" s="367"/>
      <c r="G8" s="367"/>
      <c r="H8" s="367"/>
      <c r="I8" s="367"/>
      <c r="J8" s="367"/>
      <c r="K8" s="367"/>
      <c r="L8" s="367"/>
      <c r="M8" s="367"/>
      <c r="N8" s="46"/>
    </row>
    <row r="9" spans="1:14">
      <c r="A9" s="44"/>
      <c r="B9" s="45"/>
      <c r="C9" s="45"/>
      <c r="D9" s="45"/>
      <c r="E9" s="45"/>
      <c r="F9" s="45"/>
      <c r="G9" s="45"/>
      <c r="H9" s="45"/>
      <c r="I9" s="45"/>
      <c r="J9" s="45"/>
      <c r="K9" s="45"/>
      <c r="L9" s="45"/>
      <c r="M9" s="45"/>
      <c r="N9" s="46"/>
    </row>
    <row r="10" spans="1:14">
      <c r="A10" s="44"/>
      <c r="B10" s="367" t="s">
        <v>285</v>
      </c>
      <c r="C10" s="367"/>
      <c r="D10" s="367"/>
      <c r="E10" s="367"/>
      <c r="F10" s="367"/>
      <c r="G10" s="367"/>
      <c r="H10" s="367"/>
      <c r="I10" s="367"/>
      <c r="J10" s="367"/>
      <c r="K10" s="367"/>
      <c r="L10" s="367"/>
      <c r="M10" s="367"/>
      <c r="N10" s="46"/>
    </row>
    <row r="11" spans="1:14">
      <c r="A11" s="44"/>
      <c r="B11" s="367"/>
      <c r="C11" s="367"/>
      <c r="D11" s="367"/>
      <c r="E11" s="367"/>
      <c r="F11" s="367"/>
      <c r="G11" s="367"/>
      <c r="H11" s="367"/>
      <c r="I11" s="367"/>
      <c r="J11" s="367"/>
      <c r="K11" s="367"/>
      <c r="L11" s="367"/>
      <c r="M11" s="367"/>
      <c r="N11" s="46"/>
    </row>
    <row r="12" spans="1:14" ht="15.75" thickBot="1">
      <c r="A12" s="44"/>
      <c r="B12" s="45"/>
      <c r="C12" s="45"/>
      <c r="D12" s="45"/>
      <c r="E12" s="45"/>
      <c r="F12" s="45"/>
      <c r="G12" s="45"/>
      <c r="H12" s="45"/>
      <c r="I12" s="45"/>
      <c r="J12" s="45"/>
      <c r="K12" s="45"/>
      <c r="L12" s="45"/>
      <c r="M12" s="45"/>
      <c r="N12" s="46"/>
    </row>
    <row r="13" spans="1:14" ht="18.75">
      <c r="A13" s="79" t="s">
        <v>4</v>
      </c>
      <c r="B13" s="20" t="s">
        <v>719</v>
      </c>
      <c r="C13" s="21"/>
      <c r="D13" s="21"/>
      <c r="E13" s="21"/>
      <c r="F13" s="21"/>
      <c r="G13" s="21"/>
      <c r="H13" s="21"/>
      <c r="I13" s="21"/>
      <c r="J13" s="21"/>
      <c r="K13" s="21"/>
      <c r="L13" s="21"/>
      <c r="M13" s="21"/>
      <c r="N13" s="82" t="s">
        <v>61</v>
      </c>
    </row>
    <row r="14" spans="1:14">
      <c r="A14" s="69"/>
      <c r="B14" s="81" t="s">
        <v>81</v>
      </c>
      <c r="C14" s="81"/>
      <c r="D14" s="24"/>
      <c r="E14" s="24"/>
      <c r="F14" s="24"/>
      <c r="G14" s="24"/>
      <c r="H14" s="24"/>
      <c r="I14" s="24"/>
      <c r="J14" s="24"/>
      <c r="K14" s="24"/>
      <c r="L14" s="24"/>
      <c r="M14" s="24"/>
      <c r="N14" s="84"/>
    </row>
    <row r="15" spans="1:14" ht="15.75">
      <c r="A15" s="69"/>
      <c r="B15" s="24"/>
      <c r="C15" s="24"/>
      <c r="D15" s="24"/>
      <c r="E15" s="24"/>
      <c r="F15" s="24"/>
      <c r="G15" s="80" t="s">
        <v>82</v>
      </c>
      <c r="H15" s="24"/>
      <c r="I15" s="24"/>
      <c r="J15" s="26"/>
      <c r="K15" s="26" t="s">
        <v>4</v>
      </c>
      <c r="L15" s="24"/>
      <c r="M15" s="24"/>
      <c r="N15" s="84" t="s">
        <v>185</v>
      </c>
    </row>
    <row r="16" spans="1:14" ht="15.75">
      <c r="A16" s="23"/>
      <c r="B16" s="24"/>
      <c r="C16" s="24"/>
      <c r="D16" s="24"/>
      <c r="E16" s="24"/>
      <c r="F16" s="24"/>
      <c r="G16" s="80" t="s">
        <v>88</v>
      </c>
      <c r="H16" s="368" t="s">
        <v>14</v>
      </c>
      <c r="I16" s="368"/>
      <c r="J16" s="26"/>
      <c r="K16" s="26" t="s">
        <v>4</v>
      </c>
      <c r="L16" s="70" t="s">
        <v>5</v>
      </c>
      <c r="M16" s="24"/>
      <c r="N16" s="84" t="s">
        <v>186</v>
      </c>
    </row>
    <row r="17" spans="1:14" ht="15.75">
      <c r="A17" s="23"/>
      <c r="B17" s="24"/>
      <c r="C17" s="24"/>
      <c r="D17" s="24"/>
      <c r="E17" s="24"/>
      <c r="F17" s="24"/>
      <c r="G17" s="80" t="s">
        <v>46</v>
      </c>
      <c r="H17" s="366" t="s">
        <v>14</v>
      </c>
      <c r="I17" s="366"/>
      <c r="J17" s="26"/>
      <c r="K17" s="26" t="s">
        <v>4</v>
      </c>
      <c r="L17" s="70" t="s">
        <v>5</v>
      </c>
      <c r="M17" s="24"/>
      <c r="N17" s="84" t="s">
        <v>187</v>
      </c>
    </row>
    <row r="18" spans="1:14" ht="15.75" customHeight="1">
      <c r="A18" s="23"/>
      <c r="B18" s="24"/>
      <c r="C18" s="24"/>
      <c r="D18" s="24"/>
      <c r="E18" s="24"/>
      <c r="F18" s="24"/>
      <c r="G18" s="80" t="s">
        <v>180</v>
      </c>
      <c r="H18" s="90" t="s">
        <v>175</v>
      </c>
      <c r="I18" s="24"/>
      <c r="J18" s="24"/>
      <c r="K18" s="24"/>
      <c r="L18" s="24"/>
      <c r="M18" s="24"/>
      <c r="N18" s="84" t="s">
        <v>188</v>
      </c>
    </row>
    <row r="19" spans="1:14" ht="15.75" thickBot="1">
      <c r="A19" s="27"/>
      <c r="B19" s="28"/>
      <c r="C19" s="28"/>
      <c r="D19" s="28"/>
      <c r="E19" s="28"/>
      <c r="F19" s="28"/>
      <c r="G19" s="28"/>
      <c r="H19" s="28"/>
      <c r="I19" s="72"/>
      <c r="J19" s="28"/>
      <c r="K19" s="28"/>
      <c r="L19" s="28"/>
      <c r="M19" s="28"/>
      <c r="N19" s="88"/>
    </row>
    <row r="20" spans="1:14" ht="18.75">
      <c r="A20" s="77" t="s">
        <v>4</v>
      </c>
      <c r="B20" s="31" t="s">
        <v>720</v>
      </c>
      <c r="C20" s="32"/>
      <c r="D20" s="32"/>
      <c r="E20" s="32"/>
      <c r="F20" s="32"/>
      <c r="G20" s="32"/>
      <c r="H20" s="32"/>
      <c r="I20" s="32"/>
      <c r="J20" s="32"/>
      <c r="K20" s="32"/>
      <c r="L20" s="32"/>
      <c r="M20" s="32"/>
      <c r="N20" s="78" t="s">
        <v>61</v>
      </c>
    </row>
    <row r="21" spans="1:14">
      <c r="A21" s="66"/>
      <c r="B21" s="35"/>
      <c r="C21" s="35"/>
      <c r="D21" s="35"/>
      <c r="E21" s="35"/>
      <c r="F21" s="35"/>
      <c r="G21" s="114" t="s">
        <v>13</v>
      </c>
      <c r="H21" s="364" t="s">
        <v>14</v>
      </c>
      <c r="I21" s="364"/>
      <c r="J21" s="35"/>
      <c r="K21" s="35"/>
      <c r="L21" s="116"/>
      <c r="M21" s="116"/>
      <c r="N21" s="83" t="s">
        <v>189</v>
      </c>
    </row>
    <row r="22" spans="1:14" ht="15" customHeight="1">
      <c r="A22" s="66"/>
      <c r="B22" s="117" t="s">
        <v>34</v>
      </c>
      <c r="C22" s="117"/>
      <c r="D22" s="35"/>
      <c r="E22" s="35"/>
      <c r="F22" s="35"/>
      <c r="G22" s="35"/>
      <c r="H22" s="118"/>
      <c r="I22" s="118"/>
      <c r="J22" s="35"/>
      <c r="K22" s="118"/>
      <c r="L22" s="118"/>
      <c r="M22" s="116"/>
      <c r="N22" s="83"/>
    </row>
    <row r="23" spans="1:14" ht="15" customHeight="1">
      <c r="A23" s="66"/>
      <c r="B23" s="35"/>
      <c r="C23" s="35"/>
      <c r="D23" s="35"/>
      <c r="E23" s="35"/>
      <c r="F23" s="35"/>
      <c r="G23" s="114" t="s">
        <v>18</v>
      </c>
      <c r="H23" s="119"/>
      <c r="I23" s="118"/>
      <c r="J23" s="35"/>
      <c r="K23" s="120" t="s">
        <v>4</v>
      </c>
      <c r="L23" s="118"/>
      <c r="M23" s="116"/>
      <c r="N23" s="83" t="s">
        <v>190</v>
      </c>
    </row>
    <row r="24" spans="1:14">
      <c r="A24" s="66"/>
      <c r="B24" s="35"/>
      <c r="C24" s="35"/>
      <c r="D24" s="35"/>
      <c r="E24" s="35"/>
      <c r="F24" s="35"/>
      <c r="G24" s="114" t="s">
        <v>51</v>
      </c>
      <c r="H24" s="119"/>
      <c r="I24" s="118"/>
      <c r="J24" s="35"/>
      <c r="K24" s="119"/>
      <c r="L24" s="118"/>
      <c r="M24" s="116"/>
      <c r="N24" s="83" t="s">
        <v>248</v>
      </c>
    </row>
    <row r="25" spans="1:14" ht="15" customHeight="1">
      <c r="A25" s="66"/>
      <c r="B25" s="35"/>
      <c r="C25" s="35"/>
      <c r="D25" s="35"/>
      <c r="E25" s="35"/>
      <c r="F25" s="35"/>
      <c r="G25" s="114" t="s">
        <v>25</v>
      </c>
      <c r="H25" s="119"/>
      <c r="I25" s="118"/>
      <c r="J25" s="35"/>
      <c r="K25" s="120" t="s">
        <v>4</v>
      </c>
      <c r="L25" s="118"/>
      <c r="M25" s="116"/>
      <c r="N25" s="83" t="s">
        <v>191</v>
      </c>
    </row>
    <row r="26" spans="1:14">
      <c r="A26" s="66"/>
      <c r="B26" s="35"/>
      <c r="C26" s="35"/>
      <c r="D26" s="35"/>
      <c r="E26" s="35"/>
      <c r="F26" s="35"/>
      <c r="G26" s="114" t="s">
        <v>55</v>
      </c>
      <c r="H26" s="364" t="s">
        <v>14</v>
      </c>
      <c r="I26" s="364"/>
      <c r="J26" s="35"/>
      <c r="K26" s="118"/>
      <c r="L26" s="118"/>
      <c r="M26" s="116"/>
      <c r="N26" s="83" t="s">
        <v>192</v>
      </c>
    </row>
    <row r="27" spans="1:14">
      <c r="A27" s="66"/>
      <c r="B27" s="35"/>
      <c r="C27" s="35"/>
      <c r="D27" s="35"/>
      <c r="E27" s="35"/>
      <c r="F27" s="35"/>
      <c r="G27" s="114" t="s">
        <v>171</v>
      </c>
      <c r="H27" s="364" t="s">
        <v>14</v>
      </c>
      <c r="I27" s="364"/>
      <c r="J27" s="35"/>
      <c r="K27" s="118"/>
      <c r="L27" s="118"/>
      <c r="M27" s="116"/>
      <c r="N27" s="83" t="s">
        <v>193</v>
      </c>
    </row>
    <row r="28" spans="1:14">
      <c r="A28" s="66"/>
      <c r="B28" s="35"/>
      <c r="C28" s="35"/>
      <c r="D28" s="35"/>
      <c r="E28" s="35"/>
      <c r="F28" s="35"/>
      <c r="G28" s="114" t="s">
        <v>42</v>
      </c>
      <c r="H28" s="119"/>
      <c r="I28" s="119"/>
      <c r="J28" s="35"/>
      <c r="K28" s="118"/>
      <c r="L28" s="307"/>
      <c r="M28" s="116"/>
      <c r="N28" s="83" t="s">
        <v>194</v>
      </c>
    </row>
    <row r="29" spans="1:14">
      <c r="A29" s="66"/>
      <c r="B29" s="35"/>
      <c r="C29" s="35"/>
      <c r="D29" s="35"/>
      <c r="E29" s="35"/>
      <c r="F29" s="35"/>
      <c r="G29" s="114" t="s">
        <v>19</v>
      </c>
      <c r="H29" s="119"/>
      <c r="I29" s="119"/>
      <c r="J29" s="35"/>
      <c r="K29" s="118"/>
      <c r="L29" s="307"/>
      <c r="M29" s="116"/>
      <c r="N29" s="83" t="s">
        <v>195</v>
      </c>
    </row>
    <row r="30" spans="1:14">
      <c r="A30" s="66"/>
      <c r="B30" s="35"/>
      <c r="C30" s="35"/>
      <c r="D30" s="35"/>
      <c r="E30" s="35"/>
      <c r="F30" s="35"/>
      <c r="G30" s="114" t="s">
        <v>21</v>
      </c>
      <c r="H30" s="119"/>
      <c r="I30" s="119"/>
      <c r="J30" s="35"/>
      <c r="K30" s="118"/>
      <c r="L30" s="307"/>
      <c r="M30" s="116"/>
      <c r="N30" s="83" t="s">
        <v>196</v>
      </c>
    </row>
    <row r="31" spans="1:14" ht="15.75">
      <c r="A31" s="66"/>
      <c r="B31" s="35"/>
      <c r="C31" s="35"/>
      <c r="D31" s="35"/>
      <c r="E31" s="35"/>
      <c r="F31" s="35"/>
      <c r="G31" s="114" t="s">
        <v>69</v>
      </c>
      <c r="H31" s="119"/>
      <c r="I31" s="118"/>
      <c r="J31" s="35"/>
      <c r="K31" s="120" t="s">
        <v>4</v>
      </c>
      <c r="L31" s="111" t="s">
        <v>5</v>
      </c>
      <c r="M31" s="116"/>
      <c r="N31" s="83" t="s">
        <v>197</v>
      </c>
    </row>
    <row r="32" spans="1:14" ht="15.75" customHeight="1">
      <c r="A32" s="66"/>
      <c r="B32" s="35"/>
      <c r="C32" s="35"/>
      <c r="D32" s="35"/>
      <c r="E32" s="35"/>
      <c r="F32" s="35"/>
      <c r="G32" s="114" t="s">
        <v>16</v>
      </c>
      <c r="H32" s="118"/>
      <c r="I32" s="118"/>
      <c r="J32" s="35"/>
      <c r="K32" s="120" t="s">
        <v>4</v>
      </c>
      <c r="L32" s="111" t="s">
        <v>5</v>
      </c>
      <c r="M32" s="116"/>
      <c r="N32" s="83" t="s">
        <v>198</v>
      </c>
    </row>
    <row r="33" spans="1:14" ht="15.75">
      <c r="A33" s="66"/>
      <c r="B33" s="35"/>
      <c r="C33" s="35"/>
      <c r="D33" s="35"/>
      <c r="E33" s="35"/>
      <c r="F33" s="35"/>
      <c r="G33" s="114" t="s">
        <v>20</v>
      </c>
      <c r="H33" s="119"/>
      <c r="I33" s="118"/>
      <c r="J33" s="35"/>
      <c r="K33" s="120" t="s">
        <v>4</v>
      </c>
      <c r="L33" s="111" t="s">
        <v>5</v>
      </c>
      <c r="M33" s="116"/>
      <c r="N33" s="83" t="s">
        <v>199</v>
      </c>
    </row>
    <row r="34" spans="1:14">
      <c r="A34" s="66"/>
      <c r="B34" s="35"/>
      <c r="C34" s="35"/>
      <c r="D34" s="35"/>
      <c r="E34" s="35"/>
      <c r="F34" s="35"/>
      <c r="G34" s="114" t="s">
        <v>17</v>
      </c>
      <c r="H34" s="119"/>
      <c r="I34" s="118"/>
      <c r="J34" s="35"/>
      <c r="K34" s="119"/>
      <c r="L34" s="307"/>
      <c r="M34" s="116"/>
      <c r="N34" s="83" t="s">
        <v>200</v>
      </c>
    </row>
    <row r="35" spans="1:14" ht="15.75">
      <c r="A35" s="66"/>
      <c r="B35" s="35"/>
      <c r="C35" s="35"/>
      <c r="D35" s="35"/>
      <c r="E35" s="35"/>
      <c r="F35" s="35"/>
      <c r="G35" s="114" t="s">
        <v>23</v>
      </c>
      <c r="H35" s="119"/>
      <c r="I35" s="118"/>
      <c r="J35" s="35"/>
      <c r="K35" s="120" t="s">
        <v>4</v>
      </c>
      <c r="L35" s="307"/>
      <c r="M35" s="116"/>
      <c r="N35" s="83" t="s">
        <v>201</v>
      </c>
    </row>
    <row r="36" spans="1:14" ht="15.75">
      <c r="A36" s="66"/>
      <c r="B36" s="35"/>
      <c r="C36" s="35"/>
      <c r="D36" s="35"/>
      <c r="E36" s="35"/>
      <c r="F36" s="35"/>
      <c r="G36" s="114" t="s">
        <v>46</v>
      </c>
      <c r="H36" s="364" t="s">
        <v>14</v>
      </c>
      <c r="I36" s="364"/>
      <c r="J36" s="35"/>
      <c r="K36" s="120" t="s">
        <v>4</v>
      </c>
      <c r="L36" s="111" t="s">
        <v>5</v>
      </c>
      <c r="M36" s="116"/>
      <c r="N36" s="83" t="s">
        <v>202</v>
      </c>
    </row>
    <row r="37" spans="1:14" ht="15.75" customHeight="1">
      <c r="A37" s="66"/>
      <c r="B37" s="35"/>
      <c r="C37" s="35"/>
      <c r="D37" s="35"/>
      <c r="E37" s="35"/>
      <c r="F37" s="35"/>
      <c r="G37" s="114" t="s">
        <v>180</v>
      </c>
      <c r="H37" s="364" t="s">
        <v>181</v>
      </c>
      <c r="I37" s="364"/>
      <c r="J37" s="35"/>
      <c r="K37" s="119"/>
      <c r="L37" s="67"/>
      <c r="M37" s="116"/>
      <c r="N37" s="83" t="s">
        <v>203</v>
      </c>
    </row>
    <row r="38" spans="1:14" ht="15.75" thickBot="1">
      <c r="A38" s="34"/>
      <c r="B38" s="35"/>
      <c r="C38" s="35"/>
      <c r="D38" s="35"/>
      <c r="E38" s="35"/>
      <c r="F38" s="35"/>
      <c r="G38" s="35"/>
      <c r="H38" s="119"/>
      <c r="I38" s="309" t="str">
        <f>IF(DAWorkings!E28=FALSE,"There appears to be an error, remove last entry or change 2.a to Yes","")</f>
        <v/>
      </c>
      <c r="J38" s="35"/>
      <c r="K38" s="35"/>
      <c r="L38" s="35"/>
      <c r="M38" s="35"/>
      <c r="N38" s="83"/>
    </row>
    <row r="39" spans="1:14" ht="18.75">
      <c r="A39" s="79" t="s">
        <v>4</v>
      </c>
      <c r="B39" s="20" t="s">
        <v>721</v>
      </c>
      <c r="C39" s="21"/>
      <c r="D39" s="21"/>
      <c r="E39" s="21"/>
      <c r="F39" s="21"/>
      <c r="G39" s="21"/>
      <c r="H39" s="21"/>
      <c r="I39" s="21"/>
      <c r="J39" s="21"/>
      <c r="K39" s="21"/>
      <c r="L39" s="21"/>
      <c r="M39" s="21"/>
      <c r="N39" s="122" t="s">
        <v>61</v>
      </c>
    </row>
    <row r="40" spans="1:14">
      <c r="A40" s="69"/>
      <c r="B40" s="24"/>
      <c r="C40" s="24"/>
      <c r="D40" s="24"/>
      <c r="E40" s="24"/>
      <c r="F40" s="24"/>
      <c r="G40" s="80" t="s">
        <v>56</v>
      </c>
      <c r="H40" s="366" t="s">
        <v>14</v>
      </c>
      <c r="I40" s="366"/>
      <c r="J40" s="24"/>
      <c r="K40" s="24"/>
      <c r="L40" s="24"/>
      <c r="M40" s="24"/>
      <c r="N40" s="84" t="s">
        <v>204</v>
      </c>
    </row>
    <row r="41" spans="1:14">
      <c r="A41" s="69"/>
      <c r="B41" s="81" t="s">
        <v>53</v>
      </c>
      <c r="C41" s="81"/>
      <c r="D41" s="24"/>
      <c r="E41" s="24"/>
      <c r="F41" s="24"/>
      <c r="G41" s="24"/>
      <c r="H41" s="24"/>
      <c r="I41" s="24"/>
      <c r="J41" s="24"/>
      <c r="K41" s="24"/>
      <c r="L41" s="24"/>
      <c r="M41" s="24"/>
      <c r="N41" s="84"/>
    </row>
    <row r="42" spans="1:14" ht="15.75">
      <c r="A42" s="69"/>
      <c r="B42" s="24"/>
      <c r="C42" s="24"/>
      <c r="D42" s="24"/>
      <c r="E42" s="24"/>
      <c r="F42" s="24"/>
      <c r="G42" s="80" t="s">
        <v>32</v>
      </c>
      <c r="H42" s="24"/>
      <c r="I42" s="24"/>
      <c r="J42" s="24"/>
      <c r="K42" s="26" t="s">
        <v>4</v>
      </c>
      <c r="L42" s="24"/>
      <c r="M42" s="24"/>
      <c r="N42" s="84" t="s">
        <v>205</v>
      </c>
    </row>
    <row r="43" spans="1:14">
      <c r="A43" s="69"/>
      <c r="B43" s="24"/>
      <c r="C43" s="24"/>
      <c r="D43" s="24"/>
      <c r="E43" s="24"/>
      <c r="F43" s="24"/>
      <c r="G43" s="80" t="s">
        <v>21</v>
      </c>
      <c r="H43" s="24"/>
      <c r="I43" s="24"/>
      <c r="J43" s="24"/>
      <c r="K43" s="24"/>
      <c r="L43" s="202"/>
      <c r="M43" s="24"/>
      <c r="N43" s="84" t="s">
        <v>206</v>
      </c>
    </row>
    <row r="44" spans="1:14" ht="15.75">
      <c r="A44" s="69"/>
      <c r="B44" s="24"/>
      <c r="C44" s="24"/>
      <c r="D44" s="24"/>
      <c r="E44" s="24"/>
      <c r="F44" s="24"/>
      <c r="G44" s="80" t="s">
        <v>15</v>
      </c>
      <c r="H44" s="24"/>
      <c r="I44" s="24"/>
      <c r="J44" s="24"/>
      <c r="K44" s="26" t="s">
        <v>4</v>
      </c>
      <c r="L44" s="70" t="s">
        <v>5</v>
      </c>
      <c r="M44" s="24"/>
      <c r="N44" s="84" t="s">
        <v>207</v>
      </c>
    </row>
    <row r="45" spans="1:14" ht="15.75">
      <c r="A45" s="69"/>
      <c r="B45" s="24"/>
      <c r="C45" s="24"/>
      <c r="D45" s="24"/>
      <c r="E45" s="24"/>
      <c r="F45" s="24"/>
      <c r="G45" s="80" t="s">
        <v>16</v>
      </c>
      <c r="H45" s="24"/>
      <c r="I45" s="24"/>
      <c r="J45" s="24"/>
      <c r="K45" s="26" t="s">
        <v>4</v>
      </c>
      <c r="L45" s="70" t="s">
        <v>5</v>
      </c>
      <c r="M45" s="24"/>
      <c r="N45" s="84" t="s">
        <v>208</v>
      </c>
    </row>
    <row r="46" spans="1:14" ht="15.75">
      <c r="A46" s="69"/>
      <c r="B46" s="24"/>
      <c r="C46" s="24"/>
      <c r="D46" s="24"/>
      <c r="E46" s="24"/>
      <c r="F46" s="24"/>
      <c r="G46" s="80" t="s">
        <v>20</v>
      </c>
      <c r="H46" s="24"/>
      <c r="I46" s="24"/>
      <c r="J46" s="24"/>
      <c r="K46" s="26" t="s">
        <v>4</v>
      </c>
      <c r="L46" s="70" t="s">
        <v>5</v>
      </c>
      <c r="M46" s="24"/>
      <c r="N46" s="84" t="s">
        <v>209</v>
      </c>
    </row>
    <row r="47" spans="1:14">
      <c r="A47" s="69"/>
      <c r="B47" s="24"/>
      <c r="C47" s="24"/>
      <c r="D47" s="24"/>
      <c r="E47" s="24"/>
      <c r="F47" s="24"/>
      <c r="G47" s="80" t="s">
        <v>17</v>
      </c>
      <c r="H47" s="24"/>
      <c r="I47" s="24"/>
      <c r="J47" s="24"/>
      <c r="K47" s="24"/>
      <c r="L47" s="202"/>
      <c r="M47" s="24"/>
      <c r="N47" s="84" t="s">
        <v>210</v>
      </c>
    </row>
    <row r="48" spans="1:14" ht="15.75">
      <c r="A48" s="69"/>
      <c r="B48" s="24"/>
      <c r="C48" s="24"/>
      <c r="D48" s="24"/>
      <c r="E48" s="24"/>
      <c r="F48" s="24"/>
      <c r="G48" s="80" t="s">
        <v>52</v>
      </c>
      <c r="H48" s="24"/>
      <c r="I48" s="24"/>
      <c r="J48" s="24"/>
      <c r="K48" s="26" t="s">
        <v>4</v>
      </c>
      <c r="L48" s="202"/>
      <c r="M48" s="24"/>
      <c r="N48" s="84" t="s">
        <v>211</v>
      </c>
    </row>
    <row r="49" spans="1:14" ht="15.75">
      <c r="A49" s="69"/>
      <c r="B49" s="24"/>
      <c r="C49" s="24"/>
      <c r="D49" s="24"/>
      <c r="E49" s="24"/>
      <c r="F49" s="24"/>
      <c r="G49" s="80" t="s">
        <v>46</v>
      </c>
      <c r="H49" s="366" t="s">
        <v>14</v>
      </c>
      <c r="I49" s="366"/>
      <c r="J49" s="24"/>
      <c r="K49" s="26" t="s">
        <v>4</v>
      </c>
      <c r="L49" s="70" t="s">
        <v>5</v>
      </c>
      <c r="M49" s="24"/>
      <c r="N49" s="84" t="s">
        <v>212</v>
      </c>
    </row>
    <row r="50" spans="1:14" ht="15.75" customHeight="1">
      <c r="A50" s="69"/>
      <c r="B50" s="24"/>
      <c r="C50" s="24"/>
      <c r="D50" s="24"/>
      <c r="E50" s="24"/>
      <c r="F50" s="24"/>
      <c r="G50" s="80" t="s">
        <v>182</v>
      </c>
      <c r="H50" s="366" t="s">
        <v>183</v>
      </c>
      <c r="I50" s="366"/>
      <c r="J50" s="24"/>
      <c r="K50" s="112"/>
      <c r="L50" s="70"/>
      <c r="M50" s="24"/>
      <c r="N50" s="84" t="s">
        <v>213</v>
      </c>
    </row>
    <row r="51" spans="1:14" ht="15.75" thickBot="1">
      <c r="A51" s="71"/>
      <c r="B51" s="28"/>
      <c r="C51" s="28"/>
      <c r="D51" s="28"/>
      <c r="E51" s="28"/>
      <c r="F51" s="28"/>
      <c r="G51" s="28"/>
      <c r="H51" s="28"/>
      <c r="I51" s="72" t="str">
        <f>IF(DAWorkings!K28=FALSE,"There appears to be an error, remove last entry or change 3.a to Yes","")</f>
        <v/>
      </c>
      <c r="J51" s="28"/>
      <c r="K51" s="28"/>
      <c r="L51" s="210"/>
      <c r="M51" s="28"/>
      <c r="N51" s="88"/>
    </row>
    <row r="52" spans="1:14" ht="18.75">
      <c r="A52" s="77" t="s">
        <v>4</v>
      </c>
      <c r="B52" s="31" t="s">
        <v>722</v>
      </c>
      <c r="C52" s="32"/>
      <c r="D52" s="32"/>
      <c r="E52" s="32"/>
      <c r="F52" s="32"/>
      <c r="G52" s="32"/>
      <c r="H52" s="32"/>
      <c r="I52" s="32"/>
      <c r="J52" s="32"/>
      <c r="K52" s="32"/>
      <c r="L52" s="308"/>
      <c r="M52" s="32"/>
      <c r="N52" s="121" t="s">
        <v>61</v>
      </c>
    </row>
    <row r="53" spans="1:14">
      <c r="A53" s="66"/>
      <c r="B53" s="35"/>
      <c r="C53" s="35"/>
      <c r="D53" s="35"/>
      <c r="E53" s="35"/>
      <c r="F53" s="35"/>
      <c r="G53" s="114" t="s">
        <v>40</v>
      </c>
      <c r="H53" s="364" t="s">
        <v>14</v>
      </c>
      <c r="I53" s="364"/>
      <c r="J53" s="35"/>
      <c r="K53" s="35"/>
      <c r="L53" s="290"/>
      <c r="M53" s="35"/>
      <c r="N53" s="83" t="s">
        <v>214</v>
      </c>
    </row>
    <row r="54" spans="1:14">
      <c r="A54" s="66"/>
      <c r="B54" s="117" t="s">
        <v>54</v>
      </c>
      <c r="C54" s="117"/>
      <c r="D54" s="35"/>
      <c r="E54" s="35"/>
      <c r="F54" s="35"/>
      <c r="G54" s="35"/>
      <c r="H54" s="35"/>
      <c r="I54" s="35"/>
      <c r="J54" s="35"/>
      <c r="K54" s="35"/>
      <c r="L54" s="290"/>
      <c r="M54" s="35"/>
      <c r="N54" s="83"/>
    </row>
    <row r="55" spans="1:14" ht="15.75">
      <c r="A55" s="66"/>
      <c r="B55" s="35"/>
      <c r="C55" s="35"/>
      <c r="D55" s="35"/>
      <c r="E55" s="35"/>
      <c r="F55" s="35"/>
      <c r="G55" s="114" t="s">
        <v>41</v>
      </c>
      <c r="H55" s="35"/>
      <c r="I55" s="35"/>
      <c r="J55" s="35"/>
      <c r="K55" s="123" t="s">
        <v>4</v>
      </c>
      <c r="L55" s="290"/>
      <c r="M55" s="35"/>
      <c r="N55" s="83" t="s">
        <v>215</v>
      </c>
    </row>
    <row r="56" spans="1:14">
      <c r="A56" s="66"/>
      <c r="B56" s="35"/>
      <c r="C56" s="35"/>
      <c r="D56" s="35"/>
      <c r="E56" s="35"/>
      <c r="F56" s="35"/>
      <c r="G56" s="114" t="s">
        <v>22</v>
      </c>
      <c r="H56" s="119"/>
      <c r="I56" s="35"/>
      <c r="J56" s="35"/>
      <c r="K56" s="35"/>
      <c r="L56" s="290"/>
      <c r="M56" s="35"/>
      <c r="N56" s="83" t="s">
        <v>216</v>
      </c>
    </row>
    <row r="57" spans="1:14" ht="15.75">
      <c r="A57" s="66"/>
      <c r="B57" s="35"/>
      <c r="C57" s="35"/>
      <c r="D57" s="35"/>
      <c r="E57" s="35"/>
      <c r="F57" s="35"/>
      <c r="G57" s="114" t="s">
        <v>57</v>
      </c>
      <c r="H57" s="35"/>
      <c r="I57" s="35"/>
      <c r="J57" s="35"/>
      <c r="K57" s="123" t="s">
        <v>4</v>
      </c>
      <c r="L57" s="67" t="s">
        <v>5</v>
      </c>
      <c r="M57" s="35"/>
      <c r="N57" s="83" t="s">
        <v>217</v>
      </c>
    </row>
    <row r="58" spans="1:14">
      <c r="A58" s="66"/>
      <c r="B58" s="35"/>
      <c r="C58" s="35"/>
      <c r="D58" s="35"/>
      <c r="E58" s="35"/>
      <c r="F58" s="35"/>
      <c r="G58" s="114" t="s">
        <v>44</v>
      </c>
      <c r="H58" s="35"/>
      <c r="I58" s="35"/>
      <c r="J58" s="35"/>
      <c r="K58" s="35"/>
      <c r="L58" s="290"/>
      <c r="M58" s="35"/>
      <c r="N58" s="83" t="s">
        <v>218</v>
      </c>
    </row>
    <row r="59" spans="1:14">
      <c r="A59" s="66"/>
      <c r="B59" s="35"/>
      <c r="C59" s="35"/>
      <c r="D59" s="35"/>
      <c r="E59" s="35"/>
      <c r="F59" s="35"/>
      <c r="G59" s="114" t="s">
        <v>43</v>
      </c>
      <c r="H59" s="35"/>
      <c r="I59" s="35"/>
      <c r="J59" s="35"/>
      <c r="K59" s="35"/>
      <c r="L59" s="290"/>
      <c r="M59" s="35"/>
      <c r="N59" s="83" t="s">
        <v>219</v>
      </c>
    </row>
    <row r="60" spans="1:14" ht="15.75">
      <c r="A60" s="66"/>
      <c r="B60" s="35"/>
      <c r="C60" s="35"/>
      <c r="D60" s="35"/>
      <c r="E60" s="35"/>
      <c r="F60" s="35"/>
      <c r="G60" s="114" t="s">
        <v>45</v>
      </c>
      <c r="H60" s="35"/>
      <c r="I60" s="35"/>
      <c r="J60" s="35"/>
      <c r="K60" s="123" t="s">
        <v>4</v>
      </c>
      <c r="L60" s="290"/>
      <c r="M60" s="35"/>
      <c r="N60" s="83" t="s">
        <v>220</v>
      </c>
    </row>
    <row r="61" spans="1:14" ht="15.75">
      <c r="A61" s="66"/>
      <c r="B61" s="35"/>
      <c r="C61" s="35"/>
      <c r="D61" s="35"/>
      <c r="E61" s="35"/>
      <c r="F61" s="35"/>
      <c r="G61" s="114" t="s">
        <v>46</v>
      </c>
      <c r="H61" s="364" t="s">
        <v>14</v>
      </c>
      <c r="I61" s="364"/>
      <c r="J61" s="35"/>
      <c r="K61" s="123" t="s">
        <v>4</v>
      </c>
      <c r="L61" s="67" t="s">
        <v>5</v>
      </c>
      <c r="M61" s="35"/>
      <c r="N61" s="83" t="s">
        <v>221</v>
      </c>
    </row>
    <row r="62" spans="1:14" ht="15.75" customHeight="1">
      <c r="A62" s="66"/>
      <c r="B62" s="35"/>
      <c r="C62" s="35"/>
      <c r="D62" s="35"/>
      <c r="E62" s="35"/>
      <c r="F62" s="35"/>
      <c r="G62" s="310" t="s">
        <v>182</v>
      </c>
      <c r="H62" s="364" t="s">
        <v>176</v>
      </c>
      <c r="I62" s="364"/>
      <c r="J62" s="35"/>
      <c r="K62" s="115"/>
      <c r="L62" s="67"/>
      <c r="M62" s="35"/>
      <c r="N62" s="83" t="s">
        <v>222</v>
      </c>
    </row>
    <row r="63" spans="1:14" ht="16.5" thickBot="1">
      <c r="A63" s="73"/>
      <c r="B63" s="38"/>
      <c r="C63" s="38"/>
      <c r="D63" s="38"/>
      <c r="E63" s="38"/>
      <c r="F63" s="38"/>
      <c r="G63" s="74"/>
      <c r="H63" s="75"/>
      <c r="I63" s="68" t="str">
        <f>IF(DAWorkings!Q28=FALSE,"There appears to be an error, remove last entry or change 4.a to Yes","")</f>
        <v/>
      </c>
      <c r="J63" s="38"/>
      <c r="K63" s="75"/>
      <c r="L63" s="76"/>
      <c r="M63" s="38"/>
      <c r="N63" s="86"/>
    </row>
    <row r="64" spans="1:14" ht="18.75">
      <c r="A64" s="79" t="s">
        <v>4</v>
      </c>
      <c r="B64" s="20" t="s">
        <v>723</v>
      </c>
      <c r="C64" s="21"/>
      <c r="D64" s="21"/>
      <c r="E64" s="21"/>
      <c r="F64" s="21"/>
      <c r="G64" s="21"/>
      <c r="H64" s="21"/>
      <c r="I64" s="21"/>
      <c r="J64" s="21"/>
      <c r="K64" s="21"/>
      <c r="L64" s="207"/>
      <c r="M64" s="21"/>
      <c r="N64" s="122" t="s">
        <v>61</v>
      </c>
    </row>
    <row r="65" spans="1:14">
      <c r="A65" s="69"/>
      <c r="B65" s="24"/>
      <c r="C65" s="24"/>
      <c r="D65" s="24"/>
      <c r="E65" s="24"/>
      <c r="F65" s="24"/>
      <c r="G65" s="80" t="s">
        <v>62</v>
      </c>
      <c r="H65" s="366" t="s">
        <v>14</v>
      </c>
      <c r="I65" s="366"/>
      <c r="J65" s="24"/>
      <c r="K65" s="24"/>
      <c r="L65" s="202"/>
      <c r="M65" s="24"/>
      <c r="N65" s="84" t="s">
        <v>223</v>
      </c>
    </row>
    <row r="66" spans="1:14">
      <c r="A66" s="69"/>
      <c r="B66" s="81" t="s">
        <v>63</v>
      </c>
      <c r="C66" s="81"/>
      <c r="D66" s="24"/>
      <c r="E66" s="24"/>
      <c r="F66" s="24"/>
      <c r="G66" s="24"/>
      <c r="H66" s="24"/>
      <c r="I66" s="24"/>
      <c r="J66" s="24"/>
      <c r="K66" s="24"/>
      <c r="L66" s="202"/>
      <c r="M66" s="24"/>
      <c r="N66" s="84"/>
    </row>
    <row r="67" spans="1:14" ht="15.75">
      <c r="A67" s="69"/>
      <c r="B67" s="24"/>
      <c r="C67" s="24"/>
      <c r="D67" s="24"/>
      <c r="E67" s="24"/>
      <c r="F67" s="24"/>
      <c r="G67" s="80" t="s">
        <v>64</v>
      </c>
      <c r="H67" s="24"/>
      <c r="I67" s="24"/>
      <c r="J67" s="24"/>
      <c r="K67" s="26" t="s">
        <v>4</v>
      </c>
      <c r="L67" s="202"/>
      <c r="M67" s="24"/>
      <c r="N67" s="84" t="s">
        <v>224</v>
      </c>
    </row>
    <row r="68" spans="1:14" ht="15.75">
      <c r="A68" s="23"/>
      <c r="B68" s="24"/>
      <c r="C68" s="24"/>
      <c r="D68" s="24"/>
      <c r="E68" s="24"/>
      <c r="F68" s="24"/>
      <c r="G68" s="80" t="s">
        <v>65</v>
      </c>
      <c r="H68" s="24"/>
      <c r="I68" s="24"/>
      <c r="J68" s="24"/>
      <c r="K68" s="26" t="s">
        <v>4</v>
      </c>
      <c r="L68" s="202"/>
      <c r="M68" s="24"/>
      <c r="N68" s="84" t="s">
        <v>225</v>
      </c>
    </row>
    <row r="69" spans="1:14" ht="15.75">
      <c r="A69" s="23"/>
      <c r="B69" s="24"/>
      <c r="C69" s="24"/>
      <c r="D69" s="24"/>
      <c r="E69" s="24"/>
      <c r="F69" s="24"/>
      <c r="G69" s="80" t="s">
        <v>70</v>
      </c>
      <c r="H69" s="366" t="s">
        <v>14</v>
      </c>
      <c r="I69" s="366"/>
      <c r="J69" s="24"/>
      <c r="K69" s="26" t="s">
        <v>4</v>
      </c>
      <c r="L69" s="70" t="s">
        <v>5</v>
      </c>
      <c r="M69" s="24"/>
      <c r="N69" s="84" t="s">
        <v>226</v>
      </c>
    </row>
    <row r="70" spans="1:14" ht="15.75">
      <c r="A70" s="23"/>
      <c r="B70" s="24"/>
      <c r="C70" s="24"/>
      <c r="D70" s="24"/>
      <c r="E70" s="24"/>
      <c r="F70" s="24"/>
      <c r="G70" s="80" t="s">
        <v>67</v>
      </c>
      <c r="H70" s="366" t="s">
        <v>14</v>
      </c>
      <c r="I70" s="366"/>
      <c r="J70" s="24"/>
      <c r="K70" s="26" t="s">
        <v>4</v>
      </c>
      <c r="L70" s="202"/>
      <c r="M70" s="24"/>
      <c r="N70" s="84" t="s">
        <v>227</v>
      </c>
    </row>
    <row r="71" spans="1:14">
      <c r="A71" s="23"/>
      <c r="B71" s="24"/>
      <c r="C71" s="24"/>
      <c r="D71" s="24"/>
      <c r="E71" s="24"/>
      <c r="F71" s="24"/>
      <c r="G71" s="80" t="s">
        <v>66</v>
      </c>
      <c r="H71" s="24"/>
      <c r="I71" s="24"/>
      <c r="J71" s="24"/>
      <c r="K71" s="24"/>
      <c r="L71" s="202"/>
      <c r="M71" s="24"/>
      <c r="N71" s="84" t="s">
        <v>228</v>
      </c>
    </row>
    <row r="72" spans="1:14">
      <c r="A72" s="23"/>
      <c r="B72" s="24"/>
      <c r="C72" s="24"/>
      <c r="D72" s="24"/>
      <c r="E72" s="24"/>
      <c r="F72" s="24"/>
      <c r="G72" s="80" t="s">
        <v>68</v>
      </c>
      <c r="H72" s="366" t="s">
        <v>14</v>
      </c>
      <c r="I72" s="366"/>
      <c r="J72" s="24"/>
      <c r="K72" s="24"/>
      <c r="L72" s="202"/>
      <c r="M72" s="24"/>
      <c r="N72" s="84" t="s">
        <v>229</v>
      </c>
    </row>
    <row r="73" spans="1:14">
      <c r="A73" s="23"/>
      <c r="B73" s="24"/>
      <c r="C73" s="24"/>
      <c r="D73" s="24"/>
      <c r="E73" s="24"/>
      <c r="F73" s="24"/>
      <c r="G73" s="80" t="s">
        <v>115</v>
      </c>
      <c r="H73" s="366" t="s">
        <v>14</v>
      </c>
      <c r="I73" s="366"/>
      <c r="J73" s="24"/>
      <c r="K73" s="24"/>
      <c r="L73" s="202"/>
      <c r="M73" s="24"/>
      <c r="N73" s="84" t="s">
        <v>230</v>
      </c>
    </row>
    <row r="74" spans="1:14" ht="15.75" customHeight="1">
      <c r="A74" s="23"/>
      <c r="B74" s="24"/>
      <c r="C74" s="24"/>
      <c r="D74" s="24"/>
      <c r="E74" s="24"/>
      <c r="F74" s="24"/>
      <c r="G74" s="80" t="s">
        <v>46</v>
      </c>
      <c r="H74" s="366" t="s">
        <v>14</v>
      </c>
      <c r="I74" s="366"/>
      <c r="J74" s="24"/>
      <c r="K74" s="26" t="s">
        <v>4</v>
      </c>
      <c r="L74" s="70" t="s">
        <v>5</v>
      </c>
      <c r="M74" s="24"/>
      <c r="N74" s="84" t="s">
        <v>231</v>
      </c>
    </row>
    <row r="75" spans="1:14" ht="15.75" customHeight="1">
      <c r="A75" s="23"/>
      <c r="B75" s="24"/>
      <c r="C75" s="24"/>
      <c r="D75" s="24"/>
      <c r="E75" s="24"/>
      <c r="F75" s="24"/>
      <c r="G75" s="80" t="s">
        <v>182</v>
      </c>
      <c r="H75" s="366" t="s">
        <v>177</v>
      </c>
      <c r="I75" s="366"/>
      <c r="J75" s="24"/>
      <c r="K75" s="24"/>
      <c r="L75" s="202"/>
      <c r="M75" s="24"/>
      <c r="N75" s="84" t="s">
        <v>232</v>
      </c>
    </row>
    <row r="76" spans="1:14" ht="15.75" thickBot="1">
      <c r="A76" s="27"/>
      <c r="B76" s="28"/>
      <c r="C76" s="28"/>
      <c r="D76" s="28"/>
      <c r="E76" s="28"/>
      <c r="F76" s="28"/>
      <c r="G76" s="28"/>
      <c r="H76" s="28"/>
      <c r="I76" s="72" t="str">
        <f>IF(DAWorkings!W28=FALSE,"There appears to be an error, remove last entry or change 5.a to Yes","")</f>
        <v/>
      </c>
      <c r="J76" s="28"/>
      <c r="K76" s="28"/>
      <c r="L76" s="210"/>
      <c r="M76" s="28"/>
      <c r="N76" s="88"/>
    </row>
    <row r="77" spans="1:14" ht="18.75">
      <c r="A77" s="77" t="s">
        <v>4</v>
      </c>
      <c r="B77" s="31" t="s">
        <v>724</v>
      </c>
      <c r="C77" s="32"/>
      <c r="D77" s="32"/>
      <c r="E77" s="32"/>
      <c r="F77" s="32"/>
      <c r="G77" s="32"/>
      <c r="H77" s="32"/>
      <c r="I77" s="32"/>
      <c r="J77" s="32"/>
      <c r="K77" s="32"/>
      <c r="L77" s="308"/>
      <c r="M77" s="32"/>
      <c r="N77" s="121" t="s">
        <v>61</v>
      </c>
    </row>
    <row r="78" spans="1:14">
      <c r="A78" s="66"/>
      <c r="B78" s="35"/>
      <c r="C78" s="35"/>
      <c r="D78" s="35"/>
      <c r="E78" s="35"/>
      <c r="F78" s="35"/>
      <c r="G78" s="114" t="s">
        <v>72</v>
      </c>
      <c r="H78" s="364" t="s">
        <v>14</v>
      </c>
      <c r="I78" s="364"/>
      <c r="J78" s="35"/>
      <c r="K78" s="35"/>
      <c r="L78" s="290"/>
      <c r="M78" s="35"/>
      <c r="N78" s="83" t="s">
        <v>233</v>
      </c>
    </row>
    <row r="79" spans="1:14">
      <c r="A79" s="66"/>
      <c r="B79" s="117" t="s">
        <v>73</v>
      </c>
      <c r="C79" s="117"/>
      <c r="D79" s="35"/>
      <c r="E79" s="35"/>
      <c r="F79" s="35"/>
      <c r="G79" s="35"/>
      <c r="H79" s="35"/>
      <c r="I79" s="35"/>
      <c r="J79" s="35"/>
      <c r="K79" s="35"/>
      <c r="L79" s="290"/>
      <c r="M79" s="35"/>
      <c r="N79" s="83"/>
    </row>
    <row r="80" spans="1:14" ht="15.75">
      <c r="A80" s="66"/>
      <c r="B80" s="35"/>
      <c r="C80" s="35"/>
      <c r="D80" s="35"/>
      <c r="E80" s="35"/>
      <c r="F80" s="35"/>
      <c r="G80" s="114" t="s">
        <v>74</v>
      </c>
      <c r="H80" s="35"/>
      <c r="I80" s="35"/>
      <c r="J80" s="35"/>
      <c r="K80" s="123" t="s">
        <v>4</v>
      </c>
      <c r="L80" s="290"/>
      <c r="M80" s="35"/>
      <c r="N80" s="83" t="s">
        <v>234</v>
      </c>
    </row>
    <row r="81" spans="1:14" ht="15.75">
      <c r="A81" s="66"/>
      <c r="B81" s="35"/>
      <c r="C81" s="35"/>
      <c r="D81" s="35"/>
      <c r="E81" s="35"/>
      <c r="F81" s="35"/>
      <c r="G81" s="114" t="s">
        <v>75</v>
      </c>
      <c r="H81" s="119"/>
      <c r="I81" s="35"/>
      <c r="J81" s="35"/>
      <c r="K81" s="123" t="s">
        <v>4</v>
      </c>
      <c r="L81" s="290"/>
      <c r="M81" s="35"/>
      <c r="N81" s="83" t="s">
        <v>235</v>
      </c>
    </row>
    <row r="82" spans="1:14" ht="15.75">
      <c r="A82" s="66"/>
      <c r="B82" s="35"/>
      <c r="C82" s="35"/>
      <c r="D82" s="35"/>
      <c r="E82" s="35"/>
      <c r="F82" s="35"/>
      <c r="G82" s="114" t="s">
        <v>17</v>
      </c>
      <c r="H82" s="35"/>
      <c r="I82" s="35"/>
      <c r="J82" s="35"/>
      <c r="K82" s="35"/>
      <c r="L82" s="67"/>
      <c r="M82" s="35"/>
      <c r="N82" s="83" t="s">
        <v>236</v>
      </c>
    </row>
    <row r="83" spans="1:14" ht="15.75">
      <c r="A83" s="66"/>
      <c r="B83" s="35"/>
      <c r="C83" s="35"/>
      <c r="D83" s="35"/>
      <c r="E83" s="35"/>
      <c r="F83" s="35"/>
      <c r="G83" s="114" t="s">
        <v>76</v>
      </c>
      <c r="H83" s="35"/>
      <c r="I83" s="35"/>
      <c r="J83" s="35"/>
      <c r="K83" s="123" t="s">
        <v>4</v>
      </c>
      <c r="L83" s="290"/>
      <c r="M83" s="35"/>
      <c r="N83" s="83" t="s">
        <v>237</v>
      </c>
    </row>
    <row r="84" spans="1:14" ht="15.75">
      <c r="A84" s="66"/>
      <c r="B84" s="35"/>
      <c r="C84" s="35"/>
      <c r="D84" s="35"/>
      <c r="E84" s="35"/>
      <c r="F84" s="35"/>
      <c r="G84" s="114" t="s">
        <v>80</v>
      </c>
      <c r="H84" s="364" t="s">
        <v>14</v>
      </c>
      <c r="I84" s="364"/>
      <c r="J84" s="35"/>
      <c r="K84" s="123" t="s">
        <v>4</v>
      </c>
      <c r="L84" s="290"/>
      <c r="M84" s="35"/>
      <c r="N84" s="83" t="s">
        <v>238</v>
      </c>
    </row>
    <row r="85" spans="1:14" ht="15.75">
      <c r="A85" s="66"/>
      <c r="B85" s="35"/>
      <c r="C85" s="35"/>
      <c r="D85" s="35"/>
      <c r="E85" s="35"/>
      <c r="F85" s="35"/>
      <c r="G85" s="114" t="s">
        <v>161</v>
      </c>
      <c r="H85" s="364" t="s">
        <v>14</v>
      </c>
      <c r="I85" s="364"/>
      <c r="J85" s="35"/>
      <c r="K85" s="123" t="s">
        <v>4</v>
      </c>
      <c r="L85" s="67" t="s">
        <v>5</v>
      </c>
      <c r="M85" s="35"/>
      <c r="N85" s="83" t="s">
        <v>239</v>
      </c>
    </row>
    <row r="86" spans="1:14" ht="15.75" customHeight="1">
      <c r="A86" s="66"/>
      <c r="B86" s="35"/>
      <c r="C86" s="35"/>
      <c r="D86" s="35"/>
      <c r="E86" s="35"/>
      <c r="F86" s="35"/>
      <c r="G86" s="114" t="s">
        <v>46</v>
      </c>
      <c r="H86" s="364" t="s">
        <v>14</v>
      </c>
      <c r="I86" s="364"/>
      <c r="J86" s="35"/>
      <c r="K86" s="123" t="s">
        <v>4</v>
      </c>
      <c r="L86" s="67" t="s">
        <v>5</v>
      </c>
      <c r="M86" s="35"/>
      <c r="N86" s="83" t="s">
        <v>240</v>
      </c>
    </row>
    <row r="87" spans="1:14" ht="15.75" customHeight="1">
      <c r="A87" s="66"/>
      <c r="B87" s="35"/>
      <c r="C87" s="35"/>
      <c r="D87" s="35"/>
      <c r="E87" s="35"/>
      <c r="F87" s="35"/>
      <c r="G87" s="114" t="s">
        <v>182</v>
      </c>
      <c r="H87" s="364" t="s">
        <v>178</v>
      </c>
      <c r="I87" s="364"/>
      <c r="J87" s="35"/>
      <c r="K87" s="123"/>
      <c r="L87" s="67"/>
      <c r="M87" s="35"/>
      <c r="N87" s="83" t="s">
        <v>241</v>
      </c>
    </row>
    <row r="88" spans="1:14" ht="15.75" customHeight="1" thickBot="1">
      <c r="A88" s="73"/>
      <c r="B88" s="38"/>
      <c r="C88" s="38"/>
      <c r="D88" s="38"/>
      <c r="E88" s="38"/>
      <c r="F88" s="38"/>
      <c r="G88" s="74"/>
      <c r="H88" s="75"/>
      <c r="I88" s="68" t="str">
        <f>IF(DAWorkings!AC28=FALSE,"There appears to be an error, remove last entry or change 6.a to Yes","")</f>
        <v/>
      </c>
      <c r="J88" s="38"/>
      <c r="K88" s="85"/>
      <c r="L88" s="76"/>
      <c r="M88" s="38"/>
      <c r="N88" s="86"/>
    </row>
    <row r="89" spans="1:14" ht="18.75">
      <c r="A89" s="113" t="s">
        <v>4</v>
      </c>
      <c r="B89" s="101" t="s">
        <v>725</v>
      </c>
      <c r="C89" s="24"/>
      <c r="D89" s="24"/>
      <c r="E89" s="24"/>
      <c r="F89" s="24"/>
      <c r="G89" s="24"/>
      <c r="H89" s="24"/>
      <c r="I89" s="24"/>
      <c r="J89" s="24"/>
      <c r="K89" s="24"/>
      <c r="L89" s="202"/>
      <c r="M89" s="24"/>
      <c r="N89" s="84" t="s">
        <v>61</v>
      </c>
    </row>
    <row r="90" spans="1:14">
      <c r="A90" s="69"/>
      <c r="B90" s="24"/>
      <c r="C90" s="24"/>
      <c r="D90" s="24"/>
      <c r="E90" s="24"/>
      <c r="F90" s="24"/>
      <c r="G90" s="80" t="s">
        <v>83</v>
      </c>
      <c r="H90" s="366" t="s">
        <v>351</v>
      </c>
      <c r="I90" s="366"/>
      <c r="J90" s="24"/>
      <c r="K90" s="24"/>
      <c r="L90" s="202"/>
      <c r="M90" s="24"/>
      <c r="N90" s="84" t="s">
        <v>242</v>
      </c>
    </row>
    <row r="91" spans="1:14">
      <c r="A91" s="69"/>
      <c r="B91" s="81" t="s">
        <v>84</v>
      </c>
      <c r="C91" s="81"/>
      <c r="D91" s="24"/>
      <c r="E91" s="24"/>
      <c r="F91" s="24"/>
      <c r="G91" s="24"/>
      <c r="H91" s="24"/>
      <c r="I91" s="24"/>
      <c r="J91" s="24"/>
      <c r="K91" s="24"/>
      <c r="L91" s="202"/>
      <c r="M91" s="24"/>
      <c r="N91" s="84"/>
    </row>
    <row r="92" spans="1:14" ht="15.75">
      <c r="A92" s="69"/>
      <c r="B92" s="24"/>
      <c r="C92" s="24"/>
      <c r="D92" s="24"/>
      <c r="E92" s="24"/>
      <c r="F92" s="24"/>
      <c r="G92" s="80" t="s">
        <v>89</v>
      </c>
      <c r="H92" s="24"/>
      <c r="I92" s="24"/>
      <c r="J92" s="24"/>
      <c r="K92" s="26" t="s">
        <v>4</v>
      </c>
      <c r="L92" s="202"/>
      <c r="M92" s="24"/>
      <c r="N92" s="84" t="s">
        <v>243</v>
      </c>
    </row>
    <row r="93" spans="1:14" ht="15.75">
      <c r="A93" s="69"/>
      <c r="B93" s="24"/>
      <c r="C93" s="24"/>
      <c r="D93" s="24"/>
      <c r="E93" s="24"/>
      <c r="F93" s="24"/>
      <c r="G93" s="80" t="s">
        <v>22</v>
      </c>
      <c r="H93" s="90"/>
      <c r="I93" s="24"/>
      <c r="J93" s="24"/>
      <c r="K93" s="26"/>
      <c r="L93" s="202"/>
      <c r="M93" s="24"/>
      <c r="N93" s="84" t="s">
        <v>244</v>
      </c>
    </row>
    <row r="94" spans="1:14" ht="15.75">
      <c r="A94" s="69"/>
      <c r="B94" s="24"/>
      <c r="C94" s="24"/>
      <c r="D94" s="24"/>
      <c r="E94" s="24"/>
      <c r="F94" s="24"/>
      <c r="G94" s="80" t="s">
        <v>87</v>
      </c>
      <c r="H94" s="24"/>
      <c r="I94" s="24"/>
      <c r="J94" s="24"/>
      <c r="K94" s="26" t="s">
        <v>4</v>
      </c>
      <c r="L94" s="70"/>
      <c r="M94" s="24"/>
      <c r="N94" s="84" t="s">
        <v>245</v>
      </c>
    </row>
    <row r="95" spans="1:14" ht="15.75">
      <c r="A95" s="69"/>
      <c r="B95" s="24"/>
      <c r="C95" s="24"/>
      <c r="D95" s="24"/>
      <c r="E95" s="24"/>
      <c r="F95" s="24"/>
      <c r="G95" s="80" t="s">
        <v>46</v>
      </c>
      <c r="H95" s="366" t="s">
        <v>14</v>
      </c>
      <c r="I95" s="366"/>
      <c r="J95" s="24"/>
      <c r="K95" s="26" t="s">
        <v>4</v>
      </c>
      <c r="L95" s="70" t="s">
        <v>5</v>
      </c>
      <c r="M95" s="24"/>
      <c r="N95" s="84" t="s">
        <v>246</v>
      </c>
    </row>
    <row r="96" spans="1:14" ht="15.75" customHeight="1">
      <c r="A96" s="69"/>
      <c r="B96" s="24"/>
      <c r="C96" s="24"/>
      <c r="D96" s="24"/>
      <c r="E96" s="24"/>
      <c r="F96" s="24"/>
      <c r="G96" s="80" t="s">
        <v>182</v>
      </c>
      <c r="H96" s="90" t="s">
        <v>179</v>
      </c>
      <c r="I96" s="24"/>
      <c r="J96" s="24"/>
      <c r="K96" s="24"/>
      <c r="L96" s="70"/>
      <c r="M96" s="24"/>
      <c r="N96" s="84" t="s">
        <v>247</v>
      </c>
    </row>
    <row r="97" spans="1:14" ht="16.5" thickBot="1">
      <c r="A97" s="71"/>
      <c r="B97" s="28"/>
      <c r="C97" s="28"/>
      <c r="D97" s="28"/>
      <c r="E97" s="28"/>
      <c r="F97" s="28"/>
      <c r="G97" s="91"/>
      <c r="H97" s="92"/>
      <c r="I97" s="72" t="str">
        <f>IF(DAWorkings!AO28=FALSE,"There appears to be an error, remove last entry or change 7.a to Yes","")</f>
        <v/>
      </c>
      <c r="J97" s="24"/>
      <c r="K97" s="93"/>
      <c r="L97" s="28"/>
      <c r="M97" s="28"/>
      <c r="N97" s="84"/>
    </row>
    <row r="98" spans="1:14">
      <c r="A98" s="40"/>
      <c r="B98" s="369" t="str">
        <f>DAWorkings!G35</f>
        <v>Before continuing to Workflows, please complete the following questions D.2.a, D.3.a, D.4.a, D.5.a and D.6.a</v>
      </c>
      <c r="C98" s="369"/>
      <c r="D98" s="369"/>
      <c r="E98" s="369"/>
      <c r="F98" s="369"/>
      <c r="G98" s="369"/>
      <c r="H98" s="369"/>
      <c r="I98" s="369"/>
      <c r="J98" s="42"/>
      <c r="K98" s="42"/>
      <c r="L98" s="42"/>
      <c r="M98" s="42"/>
      <c r="N98" s="43"/>
    </row>
    <row r="99" spans="1:14">
      <c r="A99" s="44"/>
      <c r="B99" s="370"/>
      <c r="C99" s="370"/>
      <c r="D99" s="370"/>
      <c r="E99" s="370"/>
      <c r="F99" s="370"/>
      <c r="G99" s="370"/>
      <c r="H99" s="370"/>
      <c r="I99" s="370"/>
      <c r="J99" s="45"/>
      <c r="K99" s="45"/>
      <c r="L99" s="45"/>
      <c r="M99" s="45"/>
      <c r="N99" s="46"/>
    </row>
    <row r="100" spans="1:14" ht="15.75" thickBot="1">
      <c r="A100" s="47"/>
      <c r="B100" s="48"/>
      <c r="C100" s="48"/>
      <c r="D100" s="48"/>
      <c r="E100" s="48"/>
      <c r="F100" s="48"/>
      <c r="G100" s="48"/>
      <c r="H100" s="48"/>
      <c r="I100" s="48"/>
      <c r="J100" s="48"/>
      <c r="K100" s="48"/>
      <c r="L100" s="48"/>
      <c r="M100" s="48"/>
      <c r="N100" s="49"/>
    </row>
  </sheetData>
  <mergeCells count="31">
    <mergeCell ref="B98:I99"/>
    <mergeCell ref="H87:I87"/>
    <mergeCell ref="H65:I65"/>
    <mergeCell ref="H72:I72"/>
    <mergeCell ref="H40:I40"/>
    <mergeCell ref="H53:I53"/>
    <mergeCell ref="H49:I49"/>
    <mergeCell ref="H61:I61"/>
    <mergeCell ref="H75:I75"/>
    <mergeCell ref="H95:I95"/>
    <mergeCell ref="H73:I73"/>
    <mergeCell ref="H74:I74"/>
    <mergeCell ref="H69:I69"/>
    <mergeCell ref="H70:I70"/>
    <mergeCell ref="H90:I90"/>
    <mergeCell ref="H78:I78"/>
    <mergeCell ref="H86:I86"/>
    <mergeCell ref="H84:I84"/>
    <mergeCell ref="H85:I85"/>
    <mergeCell ref="B5:C5"/>
    <mergeCell ref="H62:I62"/>
    <mergeCell ref="H26:I26"/>
    <mergeCell ref="H27:I27"/>
    <mergeCell ref="H50:I50"/>
    <mergeCell ref="B6:M8"/>
    <mergeCell ref="B10:M11"/>
    <mergeCell ref="H16:I16"/>
    <mergeCell ref="H17:I17"/>
    <mergeCell ref="H21:I21"/>
    <mergeCell ref="H36:I36"/>
    <mergeCell ref="H37:I37"/>
  </mergeCells>
  <conditionalFormatting sqref="A22:G37">
    <cfRule type="expression" dxfId="62" priority="67">
      <formula>$H$21="No"</formula>
    </cfRule>
  </conditionalFormatting>
  <conditionalFormatting sqref="B41:G50">
    <cfRule type="expression" dxfId="60" priority="65">
      <formula>$H$40="No"</formula>
    </cfRule>
  </conditionalFormatting>
  <conditionalFormatting sqref="B54:G62">
    <cfRule type="expression" dxfId="59" priority="25">
      <formula>$H$53="No"</formula>
    </cfRule>
  </conditionalFormatting>
  <conditionalFormatting sqref="B91:G95">
    <cfRule type="expression" dxfId="58" priority="12">
      <formula>$H$90="No"</formula>
    </cfRule>
  </conditionalFormatting>
  <conditionalFormatting sqref="B66:I75 K66:N75">
    <cfRule type="expression" dxfId="57" priority="2">
      <formula>$H$65="No"</formula>
    </cfRule>
  </conditionalFormatting>
  <conditionalFormatting sqref="B79:I86 K79:N86">
    <cfRule type="expression" dxfId="56" priority="3">
      <formula>$H$78="No"</formula>
    </cfRule>
  </conditionalFormatting>
  <conditionalFormatting sqref="C75:I75 K75:N75">
    <cfRule type="expression" dxfId="55" priority="1">
      <formula>$H$74="Please Select:"</formula>
    </cfRule>
  </conditionalFormatting>
  <conditionalFormatting sqref="G37:I37 K37:N37">
    <cfRule type="expression" dxfId="54" priority="15">
      <formula>$H$36="Please Select:"</formula>
    </cfRule>
  </conditionalFormatting>
  <conditionalFormatting sqref="G50:I50 K50:N50">
    <cfRule type="expression" dxfId="53" priority="14">
      <formula>$H$49="Please Select:"</formula>
    </cfRule>
  </conditionalFormatting>
  <conditionalFormatting sqref="G62:I62 K62:N62">
    <cfRule type="expression" dxfId="52" priority="24">
      <formula>$H$61="Please Select:"</formula>
    </cfRule>
  </conditionalFormatting>
  <conditionalFormatting sqref="G87:I87 K87:N87">
    <cfRule type="expression" dxfId="51" priority="13">
      <formula>$H$86="Please Select:"</formula>
    </cfRule>
  </conditionalFormatting>
  <conditionalFormatting sqref="G96:I96 K96:N96">
    <cfRule type="expression" dxfId="50" priority="10">
      <formula>$H$95="Please Select:"</formula>
    </cfRule>
  </conditionalFormatting>
  <conditionalFormatting sqref="G18:N18">
    <cfRule type="expression" dxfId="49" priority="8">
      <formula>$H$17="Please Select:"</formula>
    </cfRule>
  </conditionalFormatting>
  <conditionalFormatting sqref="H87 K87:L87">
    <cfRule type="expression" dxfId="48" priority="57">
      <formula>$H$78="No"</formula>
    </cfRule>
  </conditionalFormatting>
  <conditionalFormatting sqref="H55:I61 K55:L61">
    <cfRule type="expression" dxfId="47" priority="23">
      <formula>$H$53="No"</formula>
    </cfRule>
  </conditionalFormatting>
  <conditionalFormatting sqref="H91:I95 K91:L95">
    <cfRule type="expression" dxfId="46" priority="11">
      <formula>$H$90="No"</formula>
    </cfRule>
  </conditionalFormatting>
  <conditionalFormatting sqref="K22:L37 H37:I37 H22:I35 H36">
    <cfRule type="expression" dxfId="45" priority="43">
      <formula>$H$21="No"</formula>
    </cfRule>
  </conditionalFormatting>
  <conditionalFormatting sqref="K42:L50 H50:I50 H42:I48 H49">
    <cfRule type="expression" dxfId="44" priority="64">
      <formula>$H$40="No"</formula>
    </cfRule>
  </conditionalFormatting>
  <dataValidations count="3">
    <dataValidation type="list" allowBlank="1" showInputMessage="1" showErrorMessage="1" sqref="H21 H40 H53 H65 H69:H70 H73 H78 H84:H85 H90 H16" xr:uid="{B5AC4BB3-9BD1-46F9-A9BF-834441FCE3F1}">
      <formula1>"Please Select:,Yes,No"</formula1>
    </dataValidation>
    <dataValidation type="list" allowBlank="1" showInputMessage="1" showErrorMessage="1" sqref="H72 H26:H27" xr:uid="{26293974-FF0B-4A75-A54F-114D7AB56411}">
      <formula1>"Please Select:,In House,Outsourced"</formula1>
    </dataValidation>
    <dataValidation type="list" allowBlank="1" showInputMessage="1" showErrorMessage="1" sqref="H17 H36 H49 H61 H74 H86 H95" xr:uid="{4BE00685-764F-4D61-9025-C80D24F40C63}">
      <formula1>Data_Classification</formula1>
    </dataValidation>
  </dataValidations>
  <hyperlinks>
    <hyperlink ref="L33" r:id="rId1" xr:uid="{8AFEC4FC-C6A9-4086-A5AA-4A8AA7BDD53F}"/>
    <hyperlink ref="L32" r:id="rId2" xr:uid="{568FD252-6C2C-4B71-A8FA-8B7E9F5390F7}"/>
    <hyperlink ref="L31" r:id="rId3" xr:uid="{A2CE3EFA-42E0-420F-96DF-8B10C30E6E49}"/>
    <hyperlink ref="L45" r:id="rId4" xr:uid="{25FDAAE5-259F-40C0-A1E6-95C967614F4F}"/>
    <hyperlink ref="L46" r:id="rId5" xr:uid="{E33CAAB3-1CFA-4AF8-91E9-46089F344107}"/>
    <hyperlink ref="L36" r:id="rId6" xr:uid="{6685CE2A-080E-4668-B809-1EC0207007DE}"/>
    <hyperlink ref="L44" r:id="rId7" xr:uid="{268E59BA-9AAF-4CB7-B6ED-5D44191ABFD9}"/>
    <hyperlink ref="L57" r:id="rId8" xr:uid="{B9278324-EA47-4064-87EE-8CDD311BE7E8}"/>
    <hyperlink ref="L49" r:id="rId9" xr:uid="{EBE180BC-5E9F-4E41-ADAA-4ABE62B16940}"/>
    <hyperlink ref="L61" r:id="rId10" xr:uid="{E8599682-40AC-4AEB-AD61-C1DF5B06FAD3}"/>
    <hyperlink ref="L69" r:id="rId11" xr:uid="{B8E5C87B-B7E3-4819-99E6-B14AB5AE15A1}"/>
    <hyperlink ref="L74" r:id="rId12" xr:uid="{25A40CB5-3BA5-4177-81AB-A76E8C8C955E}"/>
    <hyperlink ref="L86" r:id="rId13" xr:uid="{6F88C4B7-4482-425F-B81E-3509B24452A5}"/>
    <hyperlink ref="L85" r:id="rId14" xr:uid="{12451685-90E9-44F3-8DFC-E1CF771A95C3}"/>
    <hyperlink ref="L95" r:id="rId15" xr:uid="{84408C7A-1F0B-43B8-A5AE-B209BA3B2CE5}"/>
    <hyperlink ref="L16" r:id="rId16" xr:uid="{59B18BA4-A1D8-41C7-82C0-D2CBC1647857}"/>
    <hyperlink ref="L17" r:id="rId17" xr:uid="{4C0B2F55-1FAA-4874-8015-92599D131E63}"/>
  </hyperlinks>
  <pageMargins left="0.7" right="0.7" top="0.75" bottom="0.75" header="0.3" footer="0.3"/>
  <pageSetup paperSize="9" orientation="portrait" r:id="rId18"/>
  <drawing r:id="rId19"/>
  <legacyDrawing r:id="rId20"/>
  <mc:AlternateContent xmlns:mc="http://schemas.openxmlformats.org/markup-compatibility/2006">
    <mc:Choice Requires="x14">
      <controls>
        <mc:AlternateContent xmlns:mc="http://schemas.openxmlformats.org/markup-compatibility/2006">
          <mc:Choice Requires="x14">
            <control shapeId="2067" r:id="rId21" name="Check Box 19">
              <controlPr defaultSize="0" autoFill="0" autoLine="0" autoPict="0">
                <anchor moveWithCells="1">
                  <from>
                    <xdr:col>7</xdr:col>
                    <xdr:colOff>0</xdr:colOff>
                    <xdr:row>41</xdr:row>
                    <xdr:rowOff>0</xdr:rowOff>
                  </from>
                  <to>
                    <xdr:col>7</xdr:col>
                    <xdr:colOff>209550</xdr:colOff>
                    <xdr:row>41</xdr:row>
                    <xdr:rowOff>180975</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7</xdr:col>
                    <xdr:colOff>0</xdr:colOff>
                    <xdr:row>42</xdr:row>
                    <xdr:rowOff>0</xdr:rowOff>
                  </from>
                  <to>
                    <xdr:col>7</xdr:col>
                    <xdr:colOff>209550</xdr:colOff>
                    <xdr:row>43</xdr:row>
                    <xdr:rowOff>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7</xdr:col>
                    <xdr:colOff>0</xdr:colOff>
                    <xdr:row>42</xdr:row>
                    <xdr:rowOff>0</xdr:rowOff>
                  </from>
                  <to>
                    <xdr:col>7</xdr:col>
                    <xdr:colOff>209550</xdr:colOff>
                    <xdr:row>43</xdr:row>
                    <xdr:rowOff>0</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7</xdr:col>
                    <xdr:colOff>0</xdr:colOff>
                    <xdr:row>43</xdr:row>
                    <xdr:rowOff>0</xdr:rowOff>
                  </from>
                  <to>
                    <xdr:col>7</xdr:col>
                    <xdr:colOff>209550</xdr:colOff>
                    <xdr:row>43</xdr:row>
                    <xdr:rowOff>180975</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7</xdr:col>
                    <xdr:colOff>0</xdr:colOff>
                    <xdr:row>44</xdr:row>
                    <xdr:rowOff>0</xdr:rowOff>
                  </from>
                  <to>
                    <xdr:col>7</xdr:col>
                    <xdr:colOff>209550</xdr:colOff>
                    <xdr:row>44</xdr:row>
                    <xdr:rowOff>180975</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7</xdr:col>
                    <xdr:colOff>0</xdr:colOff>
                    <xdr:row>45</xdr:row>
                    <xdr:rowOff>0</xdr:rowOff>
                  </from>
                  <to>
                    <xdr:col>7</xdr:col>
                    <xdr:colOff>209550</xdr:colOff>
                    <xdr:row>45</xdr:row>
                    <xdr:rowOff>180975</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7</xdr:col>
                    <xdr:colOff>0</xdr:colOff>
                    <xdr:row>46</xdr:row>
                    <xdr:rowOff>0</xdr:rowOff>
                  </from>
                  <to>
                    <xdr:col>7</xdr:col>
                    <xdr:colOff>209550</xdr:colOff>
                    <xdr:row>46</xdr:row>
                    <xdr:rowOff>180975</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7</xdr:col>
                    <xdr:colOff>0</xdr:colOff>
                    <xdr:row>47</xdr:row>
                    <xdr:rowOff>0</xdr:rowOff>
                  </from>
                  <to>
                    <xdr:col>7</xdr:col>
                    <xdr:colOff>209550</xdr:colOff>
                    <xdr:row>47</xdr:row>
                    <xdr:rowOff>180975</xdr:rowOff>
                  </to>
                </anchor>
              </controlPr>
            </control>
          </mc:Choice>
        </mc:AlternateContent>
        <mc:AlternateContent xmlns:mc="http://schemas.openxmlformats.org/markup-compatibility/2006">
          <mc:Choice Requires="x14">
            <control shapeId="2085" r:id="rId29" name="Check Box 37">
              <controlPr defaultSize="0" autoFill="0" autoLine="0" autoPict="0">
                <anchor moveWithCells="1">
                  <from>
                    <xdr:col>7</xdr:col>
                    <xdr:colOff>0</xdr:colOff>
                    <xdr:row>54</xdr:row>
                    <xdr:rowOff>0</xdr:rowOff>
                  </from>
                  <to>
                    <xdr:col>7</xdr:col>
                    <xdr:colOff>209550</xdr:colOff>
                    <xdr:row>54</xdr:row>
                    <xdr:rowOff>180975</xdr:rowOff>
                  </to>
                </anchor>
              </controlPr>
            </control>
          </mc:Choice>
        </mc:AlternateContent>
        <mc:AlternateContent xmlns:mc="http://schemas.openxmlformats.org/markup-compatibility/2006">
          <mc:Choice Requires="x14">
            <control shapeId="2086" r:id="rId30" name="Check Box 38">
              <controlPr defaultSize="0" autoFill="0" autoLine="0" autoPict="0">
                <anchor moveWithCells="1">
                  <from>
                    <xdr:col>7</xdr:col>
                    <xdr:colOff>0</xdr:colOff>
                    <xdr:row>56</xdr:row>
                    <xdr:rowOff>0</xdr:rowOff>
                  </from>
                  <to>
                    <xdr:col>7</xdr:col>
                    <xdr:colOff>209550</xdr:colOff>
                    <xdr:row>56</xdr:row>
                    <xdr:rowOff>180975</xdr:rowOff>
                  </to>
                </anchor>
              </controlPr>
            </control>
          </mc:Choice>
        </mc:AlternateContent>
        <mc:AlternateContent xmlns:mc="http://schemas.openxmlformats.org/markup-compatibility/2006">
          <mc:Choice Requires="x14">
            <control shapeId="2088" r:id="rId31" name="Check Box 40">
              <controlPr defaultSize="0" autoFill="0" autoLine="0" autoPict="0">
                <anchor moveWithCells="1">
                  <from>
                    <xdr:col>7</xdr:col>
                    <xdr:colOff>0</xdr:colOff>
                    <xdr:row>55</xdr:row>
                    <xdr:rowOff>9525</xdr:rowOff>
                  </from>
                  <to>
                    <xdr:col>7</xdr:col>
                    <xdr:colOff>209550</xdr:colOff>
                    <xdr:row>56</xdr:row>
                    <xdr:rowOff>0</xdr:rowOff>
                  </to>
                </anchor>
              </controlPr>
            </control>
          </mc:Choice>
        </mc:AlternateContent>
        <mc:AlternateContent xmlns:mc="http://schemas.openxmlformats.org/markup-compatibility/2006">
          <mc:Choice Requires="x14">
            <control shapeId="2089" r:id="rId32" name="Check Box 41">
              <controlPr defaultSize="0" autoFill="0" autoLine="0" autoPict="0">
                <anchor moveWithCells="1">
                  <from>
                    <xdr:col>7</xdr:col>
                    <xdr:colOff>0</xdr:colOff>
                    <xdr:row>57</xdr:row>
                    <xdr:rowOff>0</xdr:rowOff>
                  </from>
                  <to>
                    <xdr:col>7</xdr:col>
                    <xdr:colOff>209550</xdr:colOff>
                    <xdr:row>57</xdr:row>
                    <xdr:rowOff>180975</xdr:rowOff>
                  </to>
                </anchor>
              </controlPr>
            </control>
          </mc:Choice>
        </mc:AlternateContent>
        <mc:AlternateContent xmlns:mc="http://schemas.openxmlformats.org/markup-compatibility/2006">
          <mc:Choice Requires="x14">
            <control shapeId="2090" r:id="rId33" name="Check Box 42">
              <controlPr defaultSize="0" autoFill="0" autoLine="0" autoPict="0">
                <anchor moveWithCells="1">
                  <from>
                    <xdr:col>7</xdr:col>
                    <xdr:colOff>0</xdr:colOff>
                    <xdr:row>58</xdr:row>
                    <xdr:rowOff>0</xdr:rowOff>
                  </from>
                  <to>
                    <xdr:col>7</xdr:col>
                    <xdr:colOff>209550</xdr:colOff>
                    <xdr:row>58</xdr:row>
                    <xdr:rowOff>180975</xdr:rowOff>
                  </to>
                </anchor>
              </controlPr>
            </control>
          </mc:Choice>
        </mc:AlternateContent>
        <mc:AlternateContent xmlns:mc="http://schemas.openxmlformats.org/markup-compatibility/2006">
          <mc:Choice Requires="x14">
            <control shapeId="2091" r:id="rId34" name="Check Box 43">
              <controlPr defaultSize="0" autoFill="0" autoLine="0" autoPict="0">
                <anchor moveWithCells="1">
                  <from>
                    <xdr:col>7</xdr:col>
                    <xdr:colOff>0</xdr:colOff>
                    <xdr:row>59</xdr:row>
                    <xdr:rowOff>0</xdr:rowOff>
                  </from>
                  <to>
                    <xdr:col>7</xdr:col>
                    <xdr:colOff>209550</xdr:colOff>
                    <xdr:row>59</xdr:row>
                    <xdr:rowOff>180975</xdr:rowOff>
                  </to>
                </anchor>
              </controlPr>
            </control>
          </mc:Choice>
        </mc:AlternateContent>
        <mc:AlternateContent xmlns:mc="http://schemas.openxmlformats.org/markup-compatibility/2006">
          <mc:Choice Requires="x14">
            <control shapeId="2118" r:id="rId35" name="Check Box 70">
              <controlPr defaultSize="0" autoFill="0" autoLine="0" autoPict="0">
                <anchor moveWithCells="1">
                  <from>
                    <xdr:col>7</xdr:col>
                    <xdr:colOff>0</xdr:colOff>
                    <xdr:row>79</xdr:row>
                    <xdr:rowOff>0</xdr:rowOff>
                  </from>
                  <to>
                    <xdr:col>7</xdr:col>
                    <xdr:colOff>209550</xdr:colOff>
                    <xdr:row>79</xdr:row>
                    <xdr:rowOff>180975</xdr:rowOff>
                  </to>
                </anchor>
              </controlPr>
            </control>
          </mc:Choice>
        </mc:AlternateContent>
        <mc:AlternateContent xmlns:mc="http://schemas.openxmlformats.org/markup-compatibility/2006">
          <mc:Choice Requires="x14">
            <control shapeId="2119" r:id="rId36" name="Check Box 71">
              <controlPr defaultSize="0" autoFill="0" autoLine="0" autoPict="0">
                <anchor moveWithCells="1">
                  <from>
                    <xdr:col>7</xdr:col>
                    <xdr:colOff>0</xdr:colOff>
                    <xdr:row>81</xdr:row>
                    <xdr:rowOff>0</xdr:rowOff>
                  </from>
                  <to>
                    <xdr:col>7</xdr:col>
                    <xdr:colOff>209550</xdr:colOff>
                    <xdr:row>81</xdr:row>
                    <xdr:rowOff>180975</xdr:rowOff>
                  </to>
                </anchor>
              </controlPr>
            </control>
          </mc:Choice>
        </mc:AlternateContent>
        <mc:AlternateContent xmlns:mc="http://schemas.openxmlformats.org/markup-compatibility/2006">
          <mc:Choice Requires="x14">
            <control shapeId="2120" r:id="rId37" name="Check Box 72">
              <controlPr defaultSize="0" autoFill="0" autoLine="0" autoPict="0">
                <anchor moveWithCells="1">
                  <from>
                    <xdr:col>7</xdr:col>
                    <xdr:colOff>0</xdr:colOff>
                    <xdr:row>80</xdr:row>
                    <xdr:rowOff>9525</xdr:rowOff>
                  </from>
                  <to>
                    <xdr:col>7</xdr:col>
                    <xdr:colOff>209550</xdr:colOff>
                    <xdr:row>81</xdr:row>
                    <xdr:rowOff>0</xdr:rowOff>
                  </to>
                </anchor>
              </controlPr>
            </control>
          </mc:Choice>
        </mc:AlternateContent>
        <mc:AlternateContent xmlns:mc="http://schemas.openxmlformats.org/markup-compatibility/2006">
          <mc:Choice Requires="x14">
            <control shapeId="2123" r:id="rId38" name="Check Box 75">
              <controlPr defaultSize="0" autoFill="0" autoLine="0" autoPict="0">
                <anchor moveWithCells="1">
                  <from>
                    <xdr:col>7</xdr:col>
                    <xdr:colOff>0</xdr:colOff>
                    <xdr:row>82</xdr:row>
                    <xdr:rowOff>0</xdr:rowOff>
                  </from>
                  <to>
                    <xdr:col>7</xdr:col>
                    <xdr:colOff>209550</xdr:colOff>
                    <xdr:row>82</xdr:row>
                    <xdr:rowOff>180975</xdr:rowOff>
                  </to>
                </anchor>
              </controlPr>
            </control>
          </mc:Choice>
        </mc:AlternateContent>
        <mc:AlternateContent xmlns:mc="http://schemas.openxmlformats.org/markup-compatibility/2006">
          <mc:Choice Requires="x14">
            <control shapeId="2142" r:id="rId39" name="Check Box 94">
              <controlPr defaultSize="0" autoFill="0" autoLine="0" autoPict="0">
                <anchor moveWithCells="1">
                  <from>
                    <xdr:col>7</xdr:col>
                    <xdr:colOff>0</xdr:colOff>
                    <xdr:row>91</xdr:row>
                    <xdr:rowOff>0</xdr:rowOff>
                  </from>
                  <to>
                    <xdr:col>7</xdr:col>
                    <xdr:colOff>209550</xdr:colOff>
                    <xdr:row>91</xdr:row>
                    <xdr:rowOff>180975</xdr:rowOff>
                  </to>
                </anchor>
              </controlPr>
            </control>
          </mc:Choice>
        </mc:AlternateContent>
        <mc:AlternateContent xmlns:mc="http://schemas.openxmlformats.org/markup-compatibility/2006">
          <mc:Choice Requires="x14">
            <control shapeId="2143" r:id="rId40" name="Check Box 95">
              <controlPr defaultSize="0" autoFill="0" autoLine="0" autoPict="0">
                <anchor moveWithCells="1">
                  <from>
                    <xdr:col>7</xdr:col>
                    <xdr:colOff>0</xdr:colOff>
                    <xdr:row>93</xdr:row>
                    <xdr:rowOff>0</xdr:rowOff>
                  </from>
                  <to>
                    <xdr:col>7</xdr:col>
                    <xdr:colOff>209550</xdr:colOff>
                    <xdr:row>93</xdr:row>
                    <xdr:rowOff>180975</xdr:rowOff>
                  </to>
                </anchor>
              </controlPr>
            </control>
          </mc:Choice>
        </mc:AlternateContent>
        <mc:AlternateContent xmlns:mc="http://schemas.openxmlformats.org/markup-compatibility/2006">
          <mc:Choice Requires="x14">
            <control shapeId="2144" r:id="rId41" name="Check Box 96">
              <controlPr defaultSize="0" autoFill="0" autoLine="0" autoPict="0">
                <anchor moveWithCells="1">
                  <from>
                    <xdr:col>7</xdr:col>
                    <xdr:colOff>0</xdr:colOff>
                    <xdr:row>92</xdr:row>
                    <xdr:rowOff>9525</xdr:rowOff>
                  </from>
                  <to>
                    <xdr:col>7</xdr:col>
                    <xdr:colOff>209550</xdr:colOff>
                    <xdr:row>93</xdr:row>
                    <xdr:rowOff>0</xdr:rowOff>
                  </to>
                </anchor>
              </controlPr>
            </control>
          </mc:Choice>
        </mc:AlternateContent>
        <mc:AlternateContent xmlns:mc="http://schemas.openxmlformats.org/markup-compatibility/2006">
          <mc:Choice Requires="x14">
            <control shapeId="2101" r:id="rId42" name="Check Box 53">
              <controlPr defaultSize="0" autoFill="0" autoLine="0" autoPict="0">
                <anchor moveWithCells="1">
                  <from>
                    <xdr:col>7</xdr:col>
                    <xdr:colOff>0</xdr:colOff>
                    <xdr:row>66</xdr:row>
                    <xdr:rowOff>0</xdr:rowOff>
                  </from>
                  <to>
                    <xdr:col>7</xdr:col>
                    <xdr:colOff>209550</xdr:colOff>
                    <xdr:row>66</xdr:row>
                    <xdr:rowOff>180975</xdr:rowOff>
                  </to>
                </anchor>
              </controlPr>
            </control>
          </mc:Choice>
        </mc:AlternateContent>
        <mc:AlternateContent xmlns:mc="http://schemas.openxmlformats.org/markup-compatibility/2006">
          <mc:Choice Requires="x14">
            <control shapeId="2103" r:id="rId43" name="Check Box 55">
              <controlPr defaultSize="0" autoFill="0" autoLine="0" autoPict="0">
                <anchor moveWithCells="1">
                  <from>
                    <xdr:col>7</xdr:col>
                    <xdr:colOff>0</xdr:colOff>
                    <xdr:row>67</xdr:row>
                    <xdr:rowOff>0</xdr:rowOff>
                  </from>
                  <to>
                    <xdr:col>7</xdr:col>
                    <xdr:colOff>209550</xdr:colOff>
                    <xdr:row>68</xdr:row>
                    <xdr:rowOff>0</xdr:rowOff>
                  </to>
                </anchor>
              </controlPr>
            </control>
          </mc:Choice>
        </mc:AlternateContent>
        <mc:AlternateContent xmlns:mc="http://schemas.openxmlformats.org/markup-compatibility/2006">
          <mc:Choice Requires="x14">
            <control shapeId="2104" r:id="rId44" name="Check Box 56">
              <controlPr defaultSize="0" autoFill="0" autoLine="0" autoPict="0">
                <anchor moveWithCells="1">
                  <from>
                    <xdr:col>7</xdr:col>
                    <xdr:colOff>0</xdr:colOff>
                    <xdr:row>70</xdr:row>
                    <xdr:rowOff>0</xdr:rowOff>
                  </from>
                  <to>
                    <xdr:col>7</xdr:col>
                    <xdr:colOff>209550</xdr:colOff>
                    <xdr:row>70</xdr:row>
                    <xdr:rowOff>180975</xdr:rowOff>
                  </to>
                </anchor>
              </controlPr>
            </control>
          </mc:Choice>
        </mc:AlternateContent>
        <mc:AlternateContent xmlns:mc="http://schemas.openxmlformats.org/markup-compatibility/2006">
          <mc:Choice Requires="x14">
            <control shapeId="2052" r:id="rId45" name="Check Box 4">
              <controlPr defaultSize="0" autoFill="0" autoLine="0" autoPict="0">
                <anchor moveWithCells="1">
                  <from>
                    <xdr:col>7</xdr:col>
                    <xdr:colOff>0</xdr:colOff>
                    <xdr:row>22</xdr:row>
                    <xdr:rowOff>9525</xdr:rowOff>
                  </from>
                  <to>
                    <xdr:col>7</xdr:col>
                    <xdr:colOff>209550</xdr:colOff>
                    <xdr:row>23</xdr:row>
                    <xdr:rowOff>9525</xdr:rowOff>
                  </to>
                </anchor>
              </controlPr>
            </control>
          </mc:Choice>
        </mc:AlternateContent>
        <mc:AlternateContent xmlns:mc="http://schemas.openxmlformats.org/markup-compatibility/2006">
          <mc:Choice Requires="x14">
            <control shapeId="2054" r:id="rId46" name="Check Box 6">
              <controlPr defaultSize="0" autoFill="0" autoLine="0" autoPict="0">
                <anchor moveWithCells="1">
                  <from>
                    <xdr:col>7</xdr:col>
                    <xdr:colOff>0</xdr:colOff>
                    <xdr:row>23</xdr:row>
                    <xdr:rowOff>9525</xdr:rowOff>
                  </from>
                  <to>
                    <xdr:col>7</xdr:col>
                    <xdr:colOff>209550</xdr:colOff>
                    <xdr:row>24</xdr:row>
                    <xdr:rowOff>9525</xdr:rowOff>
                  </to>
                </anchor>
              </controlPr>
            </control>
          </mc:Choice>
        </mc:AlternateContent>
        <mc:AlternateContent xmlns:mc="http://schemas.openxmlformats.org/markup-compatibility/2006">
          <mc:Choice Requires="x14">
            <control shapeId="2055" r:id="rId47" name="Check Box 7">
              <controlPr defaultSize="0" autoFill="0" autoLine="0" autoPict="0">
                <anchor moveWithCells="1">
                  <from>
                    <xdr:col>7</xdr:col>
                    <xdr:colOff>0</xdr:colOff>
                    <xdr:row>24</xdr:row>
                    <xdr:rowOff>0</xdr:rowOff>
                  </from>
                  <to>
                    <xdr:col>7</xdr:col>
                    <xdr:colOff>209550</xdr:colOff>
                    <xdr:row>24</xdr:row>
                    <xdr:rowOff>180975</xdr:rowOff>
                  </to>
                </anchor>
              </controlPr>
            </control>
          </mc:Choice>
        </mc:AlternateContent>
        <mc:AlternateContent xmlns:mc="http://schemas.openxmlformats.org/markup-compatibility/2006">
          <mc:Choice Requires="x14">
            <control shapeId="2056" r:id="rId48" name="Check Box 8">
              <controlPr defaultSize="0" autoFill="0" autoLine="0" autoPict="0">
                <anchor moveWithCells="1">
                  <from>
                    <xdr:col>7</xdr:col>
                    <xdr:colOff>0</xdr:colOff>
                    <xdr:row>27</xdr:row>
                    <xdr:rowOff>9525</xdr:rowOff>
                  </from>
                  <to>
                    <xdr:col>7</xdr:col>
                    <xdr:colOff>209550</xdr:colOff>
                    <xdr:row>28</xdr:row>
                    <xdr:rowOff>0</xdr:rowOff>
                  </to>
                </anchor>
              </controlPr>
            </control>
          </mc:Choice>
        </mc:AlternateContent>
        <mc:AlternateContent xmlns:mc="http://schemas.openxmlformats.org/markup-compatibility/2006">
          <mc:Choice Requires="x14">
            <control shapeId="2057" r:id="rId49" name="Check Box 9">
              <controlPr defaultSize="0" autoFill="0" autoLine="0" autoPict="0">
                <anchor moveWithCells="1">
                  <from>
                    <xdr:col>7</xdr:col>
                    <xdr:colOff>0</xdr:colOff>
                    <xdr:row>28</xdr:row>
                    <xdr:rowOff>9525</xdr:rowOff>
                  </from>
                  <to>
                    <xdr:col>7</xdr:col>
                    <xdr:colOff>209550</xdr:colOff>
                    <xdr:row>29</xdr:row>
                    <xdr:rowOff>0</xdr:rowOff>
                  </to>
                </anchor>
              </controlPr>
            </control>
          </mc:Choice>
        </mc:AlternateContent>
        <mc:AlternateContent xmlns:mc="http://schemas.openxmlformats.org/markup-compatibility/2006">
          <mc:Choice Requires="x14">
            <control shapeId="2059" r:id="rId50" name="Check Box 11">
              <controlPr defaultSize="0" autoFill="0" autoLine="0" autoPict="0">
                <anchor moveWithCells="1">
                  <from>
                    <xdr:col>7</xdr:col>
                    <xdr:colOff>0</xdr:colOff>
                    <xdr:row>30</xdr:row>
                    <xdr:rowOff>0</xdr:rowOff>
                  </from>
                  <to>
                    <xdr:col>7</xdr:col>
                    <xdr:colOff>209550</xdr:colOff>
                    <xdr:row>30</xdr:row>
                    <xdr:rowOff>180975</xdr:rowOff>
                  </to>
                </anchor>
              </controlPr>
            </control>
          </mc:Choice>
        </mc:AlternateContent>
        <mc:AlternateContent xmlns:mc="http://schemas.openxmlformats.org/markup-compatibility/2006">
          <mc:Choice Requires="x14">
            <control shapeId="2060" r:id="rId51" name="Check Box 12">
              <controlPr defaultSize="0" autoFill="0" autoLine="0" autoPict="0">
                <anchor moveWithCells="1">
                  <from>
                    <xdr:col>7</xdr:col>
                    <xdr:colOff>0</xdr:colOff>
                    <xdr:row>30</xdr:row>
                    <xdr:rowOff>190500</xdr:rowOff>
                  </from>
                  <to>
                    <xdr:col>7</xdr:col>
                    <xdr:colOff>209550</xdr:colOff>
                    <xdr:row>31</xdr:row>
                    <xdr:rowOff>171450</xdr:rowOff>
                  </to>
                </anchor>
              </controlPr>
            </control>
          </mc:Choice>
        </mc:AlternateContent>
        <mc:AlternateContent xmlns:mc="http://schemas.openxmlformats.org/markup-compatibility/2006">
          <mc:Choice Requires="x14">
            <control shapeId="2061" r:id="rId52" name="Check Box 13">
              <controlPr defaultSize="0" autoFill="0" autoLine="0" autoPict="0">
                <anchor moveWithCells="1">
                  <from>
                    <xdr:col>7</xdr:col>
                    <xdr:colOff>0</xdr:colOff>
                    <xdr:row>31</xdr:row>
                    <xdr:rowOff>190500</xdr:rowOff>
                  </from>
                  <to>
                    <xdr:col>7</xdr:col>
                    <xdr:colOff>209550</xdr:colOff>
                    <xdr:row>32</xdr:row>
                    <xdr:rowOff>171450</xdr:rowOff>
                  </to>
                </anchor>
              </controlPr>
            </control>
          </mc:Choice>
        </mc:AlternateContent>
        <mc:AlternateContent xmlns:mc="http://schemas.openxmlformats.org/markup-compatibility/2006">
          <mc:Choice Requires="x14">
            <control shapeId="2062" r:id="rId53" name="Check Box 14">
              <controlPr defaultSize="0" autoFill="0" autoLine="0" autoPict="0">
                <anchor moveWithCells="1">
                  <from>
                    <xdr:col>7</xdr:col>
                    <xdr:colOff>0</xdr:colOff>
                    <xdr:row>29</xdr:row>
                    <xdr:rowOff>9525</xdr:rowOff>
                  </from>
                  <to>
                    <xdr:col>7</xdr:col>
                    <xdr:colOff>209550</xdr:colOff>
                    <xdr:row>30</xdr:row>
                    <xdr:rowOff>0</xdr:rowOff>
                  </to>
                </anchor>
              </controlPr>
            </control>
          </mc:Choice>
        </mc:AlternateContent>
        <mc:AlternateContent xmlns:mc="http://schemas.openxmlformats.org/markup-compatibility/2006">
          <mc:Choice Requires="x14">
            <control shapeId="2063" r:id="rId54" name="Check Box 15">
              <controlPr defaultSize="0" autoFill="0" autoLine="0" autoPict="0">
                <anchor moveWithCells="1">
                  <from>
                    <xdr:col>7</xdr:col>
                    <xdr:colOff>0</xdr:colOff>
                    <xdr:row>33</xdr:row>
                    <xdr:rowOff>0</xdr:rowOff>
                  </from>
                  <to>
                    <xdr:col>7</xdr:col>
                    <xdr:colOff>209550</xdr:colOff>
                    <xdr:row>33</xdr:row>
                    <xdr:rowOff>180975</xdr:rowOff>
                  </to>
                </anchor>
              </controlPr>
            </control>
          </mc:Choice>
        </mc:AlternateContent>
        <mc:AlternateContent xmlns:mc="http://schemas.openxmlformats.org/markup-compatibility/2006">
          <mc:Choice Requires="x14">
            <control shapeId="2064" r:id="rId55" name="Check Box 16">
              <controlPr defaultSize="0" autoFill="0" autoLine="0" autoPict="0">
                <anchor moveWithCells="1">
                  <from>
                    <xdr:col>7</xdr:col>
                    <xdr:colOff>0</xdr:colOff>
                    <xdr:row>34</xdr:row>
                    <xdr:rowOff>0</xdr:rowOff>
                  </from>
                  <to>
                    <xdr:col>7</xdr:col>
                    <xdr:colOff>209550</xdr:colOff>
                    <xdr:row>34</xdr:row>
                    <xdr:rowOff>180975</xdr:rowOff>
                  </to>
                </anchor>
              </controlPr>
            </control>
          </mc:Choice>
        </mc:AlternateContent>
        <mc:AlternateContent xmlns:mc="http://schemas.openxmlformats.org/markup-compatibility/2006">
          <mc:Choice Requires="x14">
            <control shapeId="2158" r:id="rId56" name="Check Box 110">
              <controlPr defaultSize="0" autoFill="0" autoLine="0" autoPict="0">
                <anchor moveWithCells="1">
                  <from>
                    <xdr:col>7</xdr:col>
                    <xdr:colOff>0</xdr:colOff>
                    <xdr:row>14</xdr:row>
                    <xdr:rowOff>0</xdr:rowOff>
                  </from>
                  <to>
                    <xdr:col>7</xdr:col>
                    <xdr:colOff>209550</xdr:colOff>
                    <xdr:row>14</xdr:row>
                    <xdr:rowOff>180975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28D3DAE2-98F1-417D-B8DE-A65AE3AE483E}">
            <xm:f>DAWorkings!$D$35=TRUE</xm:f>
            <x14:dxf>
              <font>
                <b val="0"/>
                <i val="0"/>
                <color theme="1"/>
              </font>
            </x14:dxf>
          </x14:cfRule>
          <xm:sqref>B98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820B7-ECF0-4398-9E16-194F8CEC9F43}">
  <sheetPr codeName="Sheet1">
    <tabColor theme="8" tint="0.59999389629810485"/>
  </sheetPr>
  <dimension ref="A1:N82"/>
  <sheetViews>
    <sheetView zoomScaleNormal="100" workbookViewId="0">
      <selection activeCell="B5" sqref="B5:C5"/>
    </sheetView>
  </sheetViews>
  <sheetFormatPr defaultRowHeight="15"/>
  <cols>
    <col min="10" max="10" width="2.7109375" customWidth="1"/>
    <col min="11" max="14" width="10.7109375" customWidth="1"/>
  </cols>
  <sheetData>
    <row r="1" spans="1:14">
      <c r="A1" s="40"/>
      <c r="B1" s="42"/>
      <c r="C1" s="42"/>
      <c r="D1" s="42"/>
      <c r="E1" s="42"/>
      <c r="F1" s="42"/>
      <c r="G1" s="42"/>
      <c r="H1" s="42"/>
      <c r="I1" s="42"/>
      <c r="J1" s="42"/>
      <c r="K1" s="42"/>
      <c r="L1" s="42"/>
      <c r="M1" s="42"/>
      <c r="N1" s="43"/>
    </row>
    <row r="2" spans="1:14">
      <c r="A2" s="44"/>
      <c r="B2" s="45"/>
      <c r="C2" s="45"/>
      <c r="D2" s="45"/>
      <c r="E2" s="45"/>
      <c r="F2" s="45"/>
      <c r="G2" s="45"/>
      <c r="H2" s="45"/>
      <c r="I2" s="45"/>
      <c r="J2" s="45"/>
      <c r="K2" s="45"/>
      <c r="L2" s="45"/>
      <c r="M2" s="45"/>
      <c r="N2" s="46"/>
    </row>
    <row r="3" spans="1:14">
      <c r="A3" s="44"/>
      <c r="B3" s="45"/>
      <c r="C3" s="45"/>
      <c r="D3" s="45"/>
      <c r="E3" s="45"/>
      <c r="F3" s="45"/>
      <c r="G3" s="45"/>
      <c r="H3" s="45"/>
      <c r="I3" s="45"/>
      <c r="J3" s="45"/>
      <c r="K3" s="45"/>
      <c r="L3" s="45"/>
      <c r="M3" s="45"/>
      <c r="N3" s="46"/>
    </row>
    <row r="4" spans="1:14">
      <c r="A4" s="44"/>
      <c r="B4" s="45"/>
      <c r="C4" s="45"/>
      <c r="D4" s="45"/>
      <c r="E4" s="45"/>
      <c r="F4" s="45"/>
      <c r="G4" s="45"/>
      <c r="H4" s="45"/>
      <c r="I4" s="45"/>
      <c r="J4" s="45"/>
      <c r="K4" s="45"/>
      <c r="L4" s="45"/>
      <c r="M4" s="45"/>
      <c r="N4" s="46"/>
    </row>
    <row r="5" spans="1:14" ht="21">
      <c r="A5" s="44"/>
      <c r="B5" s="365" t="s">
        <v>0</v>
      </c>
      <c r="C5" s="365"/>
      <c r="D5" s="45"/>
      <c r="E5" s="45"/>
      <c r="F5" s="45"/>
      <c r="G5" s="45"/>
      <c r="H5" s="45"/>
      <c r="I5" s="45"/>
      <c r="J5" s="45"/>
      <c r="K5" s="45"/>
      <c r="L5" s="45"/>
      <c r="M5" s="45"/>
      <c r="N5" s="46"/>
    </row>
    <row r="6" spans="1:14">
      <c r="A6" s="44"/>
      <c r="B6" s="367" t="s">
        <v>813</v>
      </c>
      <c r="C6" s="367"/>
      <c r="D6" s="367"/>
      <c r="E6" s="367"/>
      <c r="F6" s="367"/>
      <c r="G6" s="367"/>
      <c r="H6" s="367"/>
      <c r="I6" s="367"/>
      <c r="J6" s="367"/>
      <c r="K6" s="367"/>
      <c r="L6" s="367"/>
      <c r="M6" s="367"/>
      <c r="N6" s="46"/>
    </row>
    <row r="7" spans="1:14">
      <c r="A7" s="44"/>
      <c r="B7" s="367"/>
      <c r="C7" s="367"/>
      <c r="D7" s="367"/>
      <c r="E7" s="367"/>
      <c r="F7" s="367"/>
      <c r="G7" s="367"/>
      <c r="H7" s="367"/>
      <c r="I7" s="367"/>
      <c r="J7" s="367"/>
      <c r="K7" s="367"/>
      <c r="L7" s="367"/>
      <c r="M7" s="367"/>
      <c r="N7" s="46"/>
    </row>
    <row r="8" spans="1:14">
      <c r="A8" s="44"/>
      <c r="B8" s="377" t="s">
        <v>760</v>
      </c>
      <c r="C8" s="377"/>
      <c r="D8" s="377"/>
      <c r="E8" s="377"/>
      <c r="F8" s="377"/>
      <c r="G8" s="377"/>
      <c r="H8" s="377"/>
      <c r="I8" s="377"/>
      <c r="J8" s="377"/>
      <c r="K8" s="377"/>
      <c r="L8" s="377"/>
      <c r="M8" s="377"/>
      <c r="N8" s="46"/>
    </row>
    <row r="9" spans="1:14" ht="15" customHeight="1">
      <c r="A9" s="44"/>
      <c r="B9" s="377"/>
      <c r="C9" s="377"/>
      <c r="D9" s="377"/>
      <c r="E9" s="377"/>
      <c r="F9" s="377"/>
      <c r="G9" s="377"/>
      <c r="H9" s="377"/>
      <c r="I9" s="377"/>
      <c r="J9" s="377"/>
      <c r="K9" s="377"/>
      <c r="L9" s="377"/>
      <c r="M9" s="377"/>
      <c r="N9" s="46"/>
    </row>
    <row r="10" spans="1:14" ht="15" customHeight="1">
      <c r="A10" s="44"/>
      <c r="B10" s="377" t="s">
        <v>814</v>
      </c>
      <c r="C10" s="377"/>
      <c r="D10" s="377"/>
      <c r="E10" s="377"/>
      <c r="F10" s="377"/>
      <c r="G10" s="377"/>
      <c r="H10" s="377"/>
      <c r="I10" s="377"/>
      <c r="J10" s="377"/>
      <c r="K10" s="377"/>
      <c r="L10" s="377"/>
      <c r="M10" s="377"/>
      <c r="N10" s="46"/>
    </row>
    <row r="11" spans="1:14">
      <c r="A11" s="44"/>
      <c r="B11" s="377"/>
      <c r="C11" s="377"/>
      <c r="D11" s="377"/>
      <c r="E11" s="377"/>
      <c r="F11" s="377"/>
      <c r="G11" s="377"/>
      <c r="H11" s="377"/>
      <c r="I11" s="377"/>
      <c r="J11" s="377"/>
      <c r="K11" s="377"/>
      <c r="L11" s="377"/>
      <c r="M11" s="377"/>
      <c r="N11" s="46"/>
    </row>
    <row r="12" spans="1:14" ht="15" customHeight="1">
      <c r="A12" s="44"/>
      <c r="B12" s="377"/>
      <c r="C12" s="377"/>
      <c r="D12" s="377"/>
      <c r="E12" s="377"/>
      <c r="F12" s="377"/>
      <c r="G12" s="377"/>
      <c r="H12" s="377"/>
      <c r="I12" s="377"/>
      <c r="J12" s="377"/>
      <c r="K12" s="377"/>
      <c r="L12" s="377"/>
      <c r="M12" s="377"/>
      <c r="N12" s="46"/>
    </row>
    <row r="13" spans="1:14">
      <c r="A13" s="44"/>
      <c r="B13" s="377"/>
      <c r="C13" s="377"/>
      <c r="D13" s="377"/>
      <c r="E13" s="377"/>
      <c r="F13" s="377"/>
      <c r="G13" s="377"/>
      <c r="H13" s="377"/>
      <c r="I13" s="377"/>
      <c r="J13" s="377"/>
      <c r="K13" s="377"/>
      <c r="L13" s="377"/>
      <c r="M13" s="377"/>
      <c r="N13" s="46"/>
    </row>
    <row r="14" spans="1:14">
      <c r="A14" s="44"/>
      <c r="B14" s="377" t="s">
        <v>761</v>
      </c>
      <c r="C14" s="377"/>
      <c r="D14" s="377"/>
      <c r="E14" s="377"/>
      <c r="F14" s="377"/>
      <c r="G14" s="377"/>
      <c r="H14" s="377"/>
      <c r="I14" s="377"/>
      <c r="J14" s="377"/>
      <c r="K14" s="377"/>
      <c r="L14" s="377"/>
      <c r="M14" s="377"/>
      <c r="N14" s="46"/>
    </row>
    <row r="15" spans="1:14">
      <c r="A15" s="44"/>
      <c r="B15" s="377"/>
      <c r="C15" s="377"/>
      <c r="D15" s="377"/>
      <c r="E15" s="377"/>
      <c r="F15" s="377"/>
      <c r="G15" s="377"/>
      <c r="H15" s="377"/>
      <c r="I15" s="377"/>
      <c r="J15" s="377"/>
      <c r="K15" s="377"/>
      <c r="L15" s="377"/>
      <c r="M15" s="377"/>
      <c r="N15" s="46"/>
    </row>
    <row r="16" spans="1:14">
      <c r="A16" s="44"/>
      <c r="B16" s="377"/>
      <c r="C16" s="377"/>
      <c r="D16" s="377"/>
      <c r="E16" s="377"/>
      <c r="F16" s="377"/>
      <c r="G16" s="377"/>
      <c r="H16" s="377"/>
      <c r="I16" s="377"/>
      <c r="J16" s="377"/>
      <c r="K16" s="377"/>
      <c r="L16" s="377"/>
      <c r="M16" s="377"/>
      <c r="N16" s="46"/>
    </row>
    <row r="17" spans="1:14" ht="15.75" thickBot="1">
      <c r="A17" s="47"/>
      <c r="B17" s="145"/>
      <c r="C17" s="145"/>
      <c r="D17" s="145"/>
      <c r="E17" s="145"/>
      <c r="F17" s="145"/>
      <c r="G17" s="145"/>
      <c r="H17" s="145"/>
      <c r="I17" s="145"/>
      <c r="J17" s="145"/>
      <c r="K17" s="145"/>
      <c r="L17" s="145"/>
      <c r="M17" s="145"/>
      <c r="N17" s="49"/>
    </row>
    <row r="18" spans="1:14" ht="18.75">
      <c r="A18" s="19"/>
      <c r="B18" s="20" t="s">
        <v>1</v>
      </c>
      <c r="C18" s="21"/>
      <c r="D18" s="21"/>
      <c r="E18" s="21"/>
      <c r="F18" s="21"/>
      <c r="G18" s="21"/>
      <c r="H18" s="21"/>
      <c r="I18" s="21"/>
      <c r="J18" s="21"/>
      <c r="K18" s="21"/>
      <c r="L18" s="21"/>
      <c r="M18" s="21"/>
      <c r="N18" s="22"/>
    </row>
    <row r="19" spans="1:14">
      <c r="A19" s="23"/>
      <c r="B19" s="375" t="s">
        <v>730</v>
      </c>
      <c r="C19" s="375"/>
      <c r="D19" s="375"/>
      <c r="E19" s="375"/>
      <c r="F19" s="375"/>
      <c r="G19" s="375"/>
      <c r="H19" s="375"/>
      <c r="I19" s="375"/>
      <c r="J19" s="375"/>
      <c r="K19" s="375"/>
      <c r="L19" s="375"/>
      <c r="M19" s="375"/>
      <c r="N19" s="25"/>
    </row>
    <row r="20" spans="1:14">
      <c r="A20" s="23"/>
      <c r="B20" s="375"/>
      <c r="C20" s="375"/>
      <c r="D20" s="375"/>
      <c r="E20" s="375"/>
      <c r="F20" s="375"/>
      <c r="G20" s="375"/>
      <c r="H20" s="375"/>
      <c r="I20" s="375"/>
      <c r="J20" s="375"/>
      <c r="K20" s="375"/>
      <c r="L20" s="375"/>
      <c r="M20" s="375"/>
      <c r="N20" s="25"/>
    </row>
    <row r="21" spans="1:14">
      <c r="A21" s="23"/>
      <c r="B21" s="375"/>
      <c r="C21" s="375"/>
      <c r="D21" s="375"/>
      <c r="E21" s="375"/>
      <c r="F21" s="375"/>
      <c r="G21" s="375"/>
      <c r="H21" s="375"/>
      <c r="I21" s="375"/>
      <c r="J21" s="375"/>
      <c r="K21" s="375"/>
      <c r="L21" s="375"/>
      <c r="M21" s="375"/>
      <c r="N21" s="25"/>
    </row>
    <row r="22" spans="1:14">
      <c r="A22" s="23"/>
      <c r="B22" s="375"/>
      <c r="C22" s="375"/>
      <c r="D22" s="375"/>
      <c r="E22" s="375"/>
      <c r="F22" s="375"/>
      <c r="G22" s="375"/>
      <c r="H22" s="375"/>
      <c r="I22" s="375"/>
      <c r="J22" s="375"/>
      <c r="K22" s="375"/>
      <c r="L22" s="375"/>
      <c r="M22" s="375"/>
      <c r="N22" s="25"/>
    </row>
    <row r="23" spans="1:14" ht="15.75" thickBot="1">
      <c r="A23" s="27"/>
      <c r="B23" s="129"/>
      <c r="C23" s="129"/>
      <c r="D23" s="129"/>
      <c r="E23" s="129"/>
      <c r="F23" s="129"/>
      <c r="G23" s="129"/>
      <c r="H23" s="129"/>
      <c r="I23" s="129"/>
      <c r="J23" s="129"/>
      <c r="K23" s="129"/>
      <c r="L23" s="129"/>
      <c r="M23" s="129"/>
      <c r="N23" s="29"/>
    </row>
    <row r="24" spans="1:14" ht="18.75">
      <c r="A24" s="30"/>
      <c r="B24" s="31" t="s">
        <v>712</v>
      </c>
      <c r="C24" s="32"/>
      <c r="D24" s="32"/>
      <c r="E24" s="32"/>
      <c r="F24" s="32"/>
      <c r="G24" s="32"/>
      <c r="H24" s="32"/>
      <c r="I24" s="32"/>
      <c r="J24" s="32"/>
      <c r="K24" s="32"/>
      <c r="L24" s="32"/>
      <c r="M24" s="32"/>
      <c r="N24" s="78" t="s">
        <v>61</v>
      </c>
    </row>
    <row r="25" spans="1:14">
      <c r="A25" s="34"/>
      <c r="B25" s="35"/>
      <c r="C25" s="35"/>
      <c r="D25" s="35"/>
      <c r="E25" s="35"/>
      <c r="F25" s="35"/>
      <c r="G25" s="114" t="s">
        <v>111</v>
      </c>
      <c r="H25" s="364" t="s">
        <v>14</v>
      </c>
      <c r="I25" s="364"/>
      <c r="J25" s="35"/>
      <c r="K25" s="35"/>
      <c r="L25" s="35"/>
      <c r="M25" s="35"/>
      <c r="N25" s="124" t="s">
        <v>249</v>
      </c>
    </row>
    <row r="26" spans="1:14">
      <c r="A26" s="34"/>
      <c r="B26" s="35"/>
      <c r="C26" s="35"/>
      <c r="D26" s="35"/>
      <c r="E26" s="35"/>
      <c r="F26" s="35"/>
      <c r="G26" s="114" t="s">
        <v>764</v>
      </c>
      <c r="H26" s="364" t="s">
        <v>14</v>
      </c>
      <c r="I26" s="364"/>
      <c r="J26" s="35"/>
      <c r="K26" s="35"/>
      <c r="L26" s="35"/>
      <c r="M26" s="35"/>
      <c r="N26" s="124" t="s">
        <v>250</v>
      </c>
    </row>
    <row r="27" spans="1:14" ht="15.75">
      <c r="A27" s="34"/>
      <c r="B27" s="35"/>
      <c r="C27" s="35"/>
      <c r="D27" s="35"/>
      <c r="E27" s="35"/>
      <c r="F27" s="35"/>
      <c r="G27" s="114" t="s">
        <v>752</v>
      </c>
      <c r="H27" s="364" t="s">
        <v>14</v>
      </c>
      <c r="I27" s="364"/>
      <c r="J27" s="35"/>
      <c r="K27" s="123" t="s">
        <v>4</v>
      </c>
      <c r="L27" s="35"/>
      <c r="M27" s="35"/>
      <c r="N27" s="124" t="s">
        <v>251</v>
      </c>
    </row>
    <row r="28" spans="1:14" ht="15.75">
      <c r="A28" s="34"/>
      <c r="B28" s="35"/>
      <c r="C28" s="35"/>
      <c r="D28" s="35"/>
      <c r="E28" s="35"/>
      <c r="F28" s="35"/>
      <c r="G28" s="114" t="s">
        <v>823</v>
      </c>
      <c r="H28" s="364" t="s">
        <v>14</v>
      </c>
      <c r="I28" s="364"/>
      <c r="J28" s="35"/>
      <c r="K28" s="123" t="s">
        <v>4</v>
      </c>
      <c r="L28" s="35"/>
      <c r="M28" s="35"/>
      <c r="N28" s="124" t="s">
        <v>252</v>
      </c>
    </row>
    <row r="29" spans="1:14" ht="15.75" thickBot="1">
      <c r="A29" s="37"/>
      <c r="B29" s="38"/>
      <c r="C29" s="38"/>
      <c r="D29" s="38"/>
      <c r="E29" s="38"/>
      <c r="F29" s="38"/>
      <c r="G29" s="38"/>
      <c r="H29" s="38"/>
      <c r="I29" s="38"/>
      <c r="J29" s="38"/>
      <c r="K29" s="38"/>
      <c r="L29" s="38"/>
      <c r="M29" s="38"/>
      <c r="N29" s="128"/>
    </row>
    <row r="30" spans="1:14" ht="18.75">
      <c r="A30" s="19"/>
      <c r="B30" s="20" t="s">
        <v>713</v>
      </c>
      <c r="C30" s="21"/>
      <c r="D30" s="21"/>
      <c r="E30" s="21"/>
      <c r="F30" s="302" t="str">
        <f>IF(DAWorkings!D44=TRUE,DAWorkings!D45,"")</f>
        <v>There are no employees (D.2) for your Charity, therefore go to the next section</v>
      </c>
      <c r="G30" s="21"/>
      <c r="H30" s="21"/>
      <c r="I30" s="21"/>
      <c r="J30" s="21"/>
      <c r="K30" s="21"/>
      <c r="L30" s="21"/>
      <c r="M30" s="183" t="s">
        <v>419</v>
      </c>
      <c r="N30" s="82" t="s">
        <v>61</v>
      </c>
    </row>
    <row r="31" spans="1:14" ht="15.75">
      <c r="A31" s="23"/>
      <c r="B31" s="24"/>
      <c r="C31" s="24"/>
      <c r="D31" s="24"/>
      <c r="E31" s="24"/>
      <c r="F31" s="24"/>
      <c r="G31" s="80" t="s">
        <v>274</v>
      </c>
      <c r="H31" s="366" t="s">
        <v>14</v>
      </c>
      <c r="I31" s="366"/>
      <c r="J31" s="24"/>
      <c r="K31" s="311" t="s">
        <v>4</v>
      </c>
      <c r="L31" s="24"/>
      <c r="M31" s="24"/>
      <c r="N31" s="125" t="s">
        <v>253</v>
      </c>
    </row>
    <row r="32" spans="1:14" ht="15.75">
      <c r="A32" s="23"/>
      <c r="B32" s="24"/>
      <c r="C32" s="24"/>
      <c r="D32" s="24"/>
      <c r="E32" s="24"/>
      <c r="F32" s="24"/>
      <c r="G32" s="80" t="s">
        <v>764</v>
      </c>
      <c r="H32" s="366" t="s">
        <v>14</v>
      </c>
      <c r="I32" s="366"/>
      <c r="J32" s="24"/>
      <c r="K32" s="311" t="s">
        <v>4</v>
      </c>
      <c r="L32" s="24"/>
      <c r="M32" s="24"/>
      <c r="N32" s="125" t="s">
        <v>254</v>
      </c>
    </row>
    <row r="33" spans="1:14" ht="15.75">
      <c r="A33" s="23"/>
      <c r="B33" s="24"/>
      <c r="C33" s="24"/>
      <c r="D33" s="24"/>
      <c r="E33" s="24"/>
      <c r="F33" s="24"/>
      <c r="G33" s="80" t="s">
        <v>735</v>
      </c>
      <c r="H33" s="366" t="s">
        <v>14</v>
      </c>
      <c r="I33" s="366"/>
      <c r="J33" s="26"/>
      <c r="K33" s="311" t="s">
        <v>4</v>
      </c>
      <c r="L33" s="24"/>
      <c r="M33" s="24"/>
      <c r="N33" s="125" t="s">
        <v>255</v>
      </c>
    </row>
    <row r="34" spans="1:14" ht="15.75">
      <c r="A34" s="23"/>
      <c r="B34" s="24"/>
      <c r="C34" s="24"/>
      <c r="D34" s="24"/>
      <c r="E34" s="24"/>
      <c r="F34" s="24"/>
      <c r="G34" s="80" t="s">
        <v>736</v>
      </c>
      <c r="H34" s="366" t="s">
        <v>14</v>
      </c>
      <c r="I34" s="366"/>
      <c r="J34" s="26"/>
      <c r="K34" s="311" t="s">
        <v>4</v>
      </c>
      <c r="L34" s="24"/>
      <c r="M34" s="24"/>
      <c r="N34" s="125" t="s">
        <v>256</v>
      </c>
    </row>
    <row r="35" spans="1:14" ht="15.75">
      <c r="A35" s="23"/>
      <c r="B35" s="24"/>
      <c r="C35" s="24"/>
      <c r="D35" s="24"/>
      <c r="E35" s="24"/>
      <c r="F35" s="24"/>
      <c r="G35" s="80" t="s">
        <v>756</v>
      </c>
      <c r="H35" s="376" t="s">
        <v>14</v>
      </c>
      <c r="I35" s="376"/>
      <c r="J35" s="26"/>
      <c r="K35" s="311" t="s">
        <v>4</v>
      </c>
      <c r="L35" s="24"/>
      <c r="M35" s="24"/>
      <c r="N35" s="125" t="s">
        <v>310</v>
      </c>
    </row>
    <row r="36" spans="1:14" ht="15.75">
      <c r="A36" s="23"/>
      <c r="B36" s="24"/>
      <c r="C36" s="24"/>
      <c r="D36" s="24"/>
      <c r="E36" s="24"/>
      <c r="F36" s="24"/>
      <c r="G36" s="80" t="s">
        <v>752</v>
      </c>
      <c r="H36" s="366" t="s">
        <v>14</v>
      </c>
      <c r="I36" s="366"/>
      <c r="J36" s="26"/>
      <c r="K36" s="311" t="s">
        <v>4</v>
      </c>
      <c r="L36" s="314"/>
      <c r="M36" s="24"/>
      <c r="N36" s="125" t="s">
        <v>417</v>
      </c>
    </row>
    <row r="37" spans="1:14">
      <c r="A37" s="23"/>
      <c r="B37" s="24"/>
      <c r="C37" s="24"/>
      <c r="D37" s="24"/>
      <c r="E37" s="24"/>
      <c r="F37" s="24"/>
      <c r="G37" s="80" t="s">
        <v>147</v>
      </c>
      <c r="H37" s="366" t="s">
        <v>148</v>
      </c>
      <c r="I37" s="366"/>
      <c r="J37" s="366"/>
      <c r="K37" s="366"/>
      <c r="L37" s="24"/>
      <c r="M37" s="183" t="s">
        <v>192</v>
      </c>
      <c r="N37" s="125" t="s">
        <v>418</v>
      </c>
    </row>
    <row r="38" spans="1:14">
      <c r="A38" s="23"/>
      <c r="B38" s="24"/>
      <c r="C38" s="24"/>
      <c r="D38" s="24"/>
      <c r="E38" s="24"/>
      <c r="F38" s="24"/>
      <c r="G38" s="80" t="s">
        <v>150</v>
      </c>
      <c r="H38" s="112" t="s">
        <v>151</v>
      </c>
      <c r="I38" s="112"/>
      <c r="J38" s="112"/>
      <c r="K38" s="112"/>
      <c r="L38" s="24"/>
      <c r="M38" s="183" t="s">
        <v>193</v>
      </c>
      <c r="N38" s="125" t="s">
        <v>750</v>
      </c>
    </row>
    <row r="39" spans="1:14" ht="15.75" thickBot="1">
      <c r="A39" s="27"/>
      <c r="B39" s="28"/>
      <c r="C39" s="28"/>
      <c r="D39" s="28"/>
      <c r="E39" s="28"/>
      <c r="F39" s="28"/>
      <c r="G39" s="91" t="s">
        <v>420</v>
      </c>
      <c r="H39" s="133" t="s">
        <v>304</v>
      </c>
      <c r="I39" s="133"/>
      <c r="J39" s="28"/>
      <c r="K39" s="28"/>
      <c r="L39" s="28"/>
      <c r="M39" s="183" t="s">
        <v>198</v>
      </c>
      <c r="N39" s="135" t="s">
        <v>751</v>
      </c>
    </row>
    <row r="40" spans="1:14" ht="18.75">
      <c r="A40" s="30"/>
      <c r="B40" s="31" t="s">
        <v>714</v>
      </c>
      <c r="C40" s="32"/>
      <c r="D40" s="32"/>
      <c r="E40" s="32"/>
      <c r="F40" s="303" t="str">
        <f>IF(DAWorkings!J44=TRUE,DAWorkings!J45,"")</f>
        <v>There are no volunteers (D.3) for your Charity, therefore go to the next section</v>
      </c>
      <c r="G40" s="32"/>
      <c r="H40" s="32"/>
      <c r="I40" s="32"/>
      <c r="J40" s="32"/>
      <c r="K40" s="32"/>
      <c r="L40" s="32"/>
      <c r="M40" s="32"/>
      <c r="N40" s="78" t="s">
        <v>61</v>
      </c>
    </row>
    <row r="41" spans="1:14" ht="15.75">
      <c r="A41" s="34"/>
      <c r="B41" s="35"/>
      <c r="C41" s="35"/>
      <c r="D41" s="35"/>
      <c r="E41" s="35"/>
      <c r="F41" s="35"/>
      <c r="G41" s="114" t="s">
        <v>273</v>
      </c>
      <c r="H41" s="364" t="s">
        <v>14</v>
      </c>
      <c r="I41" s="364"/>
      <c r="J41" s="35"/>
      <c r="K41" s="123" t="s">
        <v>4</v>
      </c>
      <c r="L41" s="35"/>
      <c r="M41" s="35"/>
      <c r="N41" s="124" t="s">
        <v>259</v>
      </c>
    </row>
    <row r="42" spans="1:14" ht="15.75">
      <c r="A42" s="34"/>
      <c r="B42" s="35"/>
      <c r="C42" s="35"/>
      <c r="D42" s="35"/>
      <c r="E42" s="35"/>
      <c r="F42" s="35"/>
      <c r="G42" s="114" t="s">
        <v>764</v>
      </c>
      <c r="H42" s="364" t="s">
        <v>14</v>
      </c>
      <c r="I42" s="364"/>
      <c r="J42" s="35"/>
      <c r="K42" s="123" t="s">
        <v>4</v>
      </c>
      <c r="L42" s="35"/>
      <c r="M42" s="35"/>
      <c r="N42" s="124" t="s">
        <v>260</v>
      </c>
    </row>
    <row r="43" spans="1:14" ht="15.75">
      <c r="A43" s="34"/>
      <c r="B43" s="35"/>
      <c r="C43" s="35"/>
      <c r="D43" s="35"/>
      <c r="E43" s="35"/>
      <c r="F43" s="35"/>
      <c r="G43" s="114" t="s">
        <v>756</v>
      </c>
      <c r="H43" s="374" t="s">
        <v>14</v>
      </c>
      <c r="I43" s="374"/>
      <c r="J43" s="35"/>
      <c r="K43" s="123"/>
      <c r="L43" s="35"/>
      <c r="M43" s="35"/>
      <c r="N43" s="124" t="s">
        <v>261</v>
      </c>
    </row>
    <row r="44" spans="1:14" ht="15.75">
      <c r="A44" s="34"/>
      <c r="B44" s="35"/>
      <c r="C44" s="35"/>
      <c r="D44" s="35"/>
      <c r="E44" s="35"/>
      <c r="F44" s="35"/>
      <c r="G44" s="114" t="s">
        <v>752</v>
      </c>
      <c r="H44" s="364" t="s">
        <v>743</v>
      </c>
      <c r="I44" s="364"/>
      <c r="J44" s="35"/>
      <c r="K44" s="123"/>
      <c r="L44" s="35"/>
      <c r="M44" s="35"/>
      <c r="N44" s="124" t="s">
        <v>758</v>
      </c>
    </row>
    <row r="45" spans="1:14">
      <c r="A45" s="34"/>
      <c r="B45" s="35"/>
      <c r="C45" s="35"/>
      <c r="D45" s="35"/>
      <c r="E45" s="35"/>
      <c r="F45" s="35"/>
      <c r="G45" s="114" t="s">
        <v>306</v>
      </c>
      <c r="H45" s="364" t="s">
        <v>304</v>
      </c>
      <c r="I45" s="364"/>
      <c r="J45" s="35"/>
      <c r="K45" s="35"/>
      <c r="L45" s="35"/>
      <c r="M45" s="35"/>
      <c r="N45" s="124" t="s">
        <v>759</v>
      </c>
    </row>
    <row r="46" spans="1:14" ht="15.75" thickBot="1">
      <c r="A46" s="37"/>
      <c r="B46" s="38"/>
      <c r="C46" s="38"/>
      <c r="D46" s="38"/>
      <c r="E46" s="38"/>
      <c r="F46" s="38"/>
      <c r="G46" s="38"/>
      <c r="H46" s="38"/>
      <c r="I46" s="38"/>
      <c r="J46" s="38"/>
      <c r="K46" s="38"/>
      <c r="L46" s="38"/>
      <c r="M46" s="38"/>
      <c r="N46" s="130"/>
    </row>
    <row r="47" spans="1:14" ht="18.75">
      <c r="A47" s="19"/>
      <c r="B47" s="20" t="s">
        <v>715</v>
      </c>
      <c r="C47" s="21"/>
      <c r="D47" s="21"/>
      <c r="E47" s="21"/>
      <c r="F47" s="302" t="str">
        <f>IF(DAWorkings!P44=TRUE,DAWorkings!P45,"")</f>
        <v>There are no beneficiaries (D.4) for your Charity, therefore go to the next section</v>
      </c>
      <c r="G47" s="21"/>
      <c r="H47" s="21"/>
      <c r="I47" s="21"/>
      <c r="J47" s="21"/>
      <c r="K47" s="21"/>
      <c r="L47" s="21"/>
      <c r="M47" s="21"/>
      <c r="N47" s="82" t="s">
        <v>61</v>
      </c>
    </row>
    <row r="48" spans="1:14" ht="15.75">
      <c r="A48" s="23"/>
      <c r="B48" s="24"/>
      <c r="C48" s="24"/>
      <c r="D48" s="24"/>
      <c r="E48" s="24"/>
      <c r="F48" s="24"/>
      <c r="G48" s="80" t="s">
        <v>272</v>
      </c>
      <c r="H48" s="366" t="s">
        <v>14</v>
      </c>
      <c r="I48" s="366"/>
      <c r="J48" s="24"/>
      <c r="K48" s="26" t="s">
        <v>4</v>
      </c>
      <c r="L48" s="24"/>
      <c r="M48" s="24"/>
      <c r="N48" s="125" t="s">
        <v>270</v>
      </c>
    </row>
    <row r="49" spans="1:14" ht="15.75">
      <c r="A49" s="23"/>
      <c r="B49" s="24"/>
      <c r="C49" s="24"/>
      <c r="D49" s="24"/>
      <c r="E49" s="24"/>
      <c r="F49" s="24"/>
      <c r="G49" s="80" t="s">
        <v>764</v>
      </c>
      <c r="H49" s="366" t="s">
        <v>14</v>
      </c>
      <c r="I49" s="366"/>
      <c r="J49" s="24"/>
      <c r="K49" s="26" t="s">
        <v>4</v>
      </c>
      <c r="L49" s="24"/>
      <c r="M49" s="24"/>
      <c r="N49" s="125" t="s">
        <v>271</v>
      </c>
    </row>
    <row r="50" spans="1:14">
      <c r="A50" s="23"/>
      <c r="B50" s="24"/>
      <c r="C50" s="24"/>
      <c r="D50" s="24"/>
      <c r="E50" s="24"/>
      <c r="F50" s="24"/>
      <c r="G50" s="80" t="s">
        <v>756</v>
      </c>
      <c r="H50" s="366" t="s">
        <v>14</v>
      </c>
      <c r="I50" s="366"/>
      <c r="J50" s="24"/>
      <c r="K50" s="24"/>
      <c r="L50" s="24"/>
      <c r="M50" s="24"/>
      <c r="N50" s="125" t="s">
        <v>278</v>
      </c>
    </row>
    <row r="51" spans="1:14">
      <c r="A51" s="23"/>
      <c r="B51" s="24"/>
      <c r="C51" s="24"/>
      <c r="D51" s="24"/>
      <c r="E51" s="24"/>
      <c r="F51" s="24"/>
      <c r="G51" s="80" t="s">
        <v>752</v>
      </c>
      <c r="H51" s="366" t="s">
        <v>14</v>
      </c>
      <c r="I51" s="366"/>
      <c r="J51" s="24"/>
      <c r="K51" s="24"/>
      <c r="L51" s="24"/>
      <c r="M51" s="24"/>
      <c r="N51" s="125" t="s">
        <v>763</v>
      </c>
    </row>
    <row r="52" spans="1:14">
      <c r="A52" s="23"/>
      <c r="B52" s="24"/>
      <c r="C52" s="24"/>
      <c r="D52" s="24"/>
      <c r="E52" s="24"/>
      <c r="F52" s="24"/>
      <c r="G52" s="24"/>
      <c r="H52" s="24"/>
      <c r="I52" s="24"/>
      <c r="J52" s="24"/>
      <c r="K52" s="24"/>
      <c r="L52" s="24"/>
      <c r="M52" s="24"/>
      <c r="N52" s="25"/>
    </row>
    <row r="53" spans="1:14" ht="15.75" thickBot="1">
      <c r="A53" s="27"/>
      <c r="B53" s="28"/>
      <c r="C53" s="28"/>
      <c r="D53" s="28"/>
      <c r="E53" s="28"/>
      <c r="F53" s="28"/>
      <c r="G53" s="28"/>
      <c r="H53" s="28"/>
      <c r="I53" s="28"/>
      <c r="J53" s="28"/>
      <c r="K53" s="28"/>
      <c r="L53" s="28"/>
      <c r="M53" s="28"/>
      <c r="N53" s="29"/>
    </row>
    <row r="54" spans="1:14" ht="18.75">
      <c r="A54" s="30"/>
      <c r="B54" s="31" t="s">
        <v>716</v>
      </c>
      <c r="C54" s="32"/>
      <c r="D54" s="32"/>
      <c r="E54" s="32"/>
      <c r="F54" s="303" t="str">
        <f>IF(DAWorkings!V44=TRUE,DAWorkings!V45,"")</f>
        <v>There are no donors (D.5) for your Charity, therefore go to the next section</v>
      </c>
      <c r="G54" s="32"/>
      <c r="H54" s="32"/>
      <c r="I54" s="32"/>
      <c r="J54" s="32"/>
      <c r="K54" s="32"/>
      <c r="L54" s="32"/>
      <c r="M54" s="184" t="s">
        <v>419</v>
      </c>
      <c r="N54" s="78" t="s">
        <v>61</v>
      </c>
    </row>
    <row r="55" spans="1:14" ht="15.75">
      <c r="A55" s="34"/>
      <c r="B55" s="35"/>
      <c r="C55" s="35"/>
      <c r="D55" s="35"/>
      <c r="E55" s="35"/>
      <c r="F55" s="35"/>
      <c r="G55" s="114" t="s">
        <v>283</v>
      </c>
      <c r="H55" s="364" t="s">
        <v>14</v>
      </c>
      <c r="I55" s="364"/>
      <c r="J55" s="35"/>
      <c r="K55" s="123" t="s">
        <v>4</v>
      </c>
      <c r="L55" s="35"/>
      <c r="M55" s="35"/>
      <c r="N55" s="124" t="s">
        <v>279</v>
      </c>
    </row>
    <row r="56" spans="1:14" ht="15.75">
      <c r="A56" s="34"/>
      <c r="B56" s="35"/>
      <c r="C56" s="35"/>
      <c r="D56" s="35"/>
      <c r="E56" s="35"/>
      <c r="F56" s="35"/>
      <c r="G56" s="114" t="s">
        <v>764</v>
      </c>
      <c r="H56" s="364" t="s">
        <v>14</v>
      </c>
      <c r="I56" s="364"/>
      <c r="J56" s="35"/>
      <c r="K56" s="123" t="s">
        <v>4</v>
      </c>
      <c r="L56" s="35"/>
      <c r="M56" s="35"/>
      <c r="N56" s="124" t="s">
        <v>280</v>
      </c>
    </row>
    <row r="57" spans="1:14" ht="15.75">
      <c r="A57" s="34"/>
      <c r="B57" s="35"/>
      <c r="C57" s="35"/>
      <c r="D57" s="35"/>
      <c r="E57" s="35"/>
      <c r="F57" s="35"/>
      <c r="G57" s="114" t="s">
        <v>756</v>
      </c>
      <c r="H57" s="364" t="s">
        <v>14</v>
      </c>
      <c r="I57" s="364"/>
      <c r="J57" s="35"/>
      <c r="K57" s="123"/>
      <c r="L57" s="35"/>
      <c r="M57" s="35"/>
      <c r="N57" s="124" t="s">
        <v>281</v>
      </c>
    </row>
    <row r="58" spans="1:14" ht="15.75">
      <c r="A58" s="34"/>
      <c r="B58" s="35"/>
      <c r="C58" s="35"/>
      <c r="D58" s="35"/>
      <c r="E58" s="35"/>
      <c r="F58" s="35"/>
      <c r="G58" s="114" t="s">
        <v>752</v>
      </c>
      <c r="H58" s="364" t="s">
        <v>14</v>
      </c>
      <c r="I58" s="364"/>
      <c r="J58" s="35"/>
      <c r="K58" s="123"/>
      <c r="L58" s="35"/>
      <c r="M58" s="35"/>
      <c r="N58" s="124" t="s">
        <v>282</v>
      </c>
    </row>
    <row r="59" spans="1:14">
      <c r="A59" s="34"/>
      <c r="B59" s="35"/>
      <c r="C59" s="35"/>
      <c r="D59" s="35"/>
      <c r="E59" s="35"/>
      <c r="F59" s="35"/>
      <c r="G59" s="114" t="s">
        <v>299</v>
      </c>
      <c r="H59" s="119" t="s">
        <v>286</v>
      </c>
      <c r="I59" s="35"/>
      <c r="J59" s="35"/>
      <c r="K59" s="35"/>
      <c r="L59" s="35"/>
      <c r="M59" s="185" t="s">
        <v>229</v>
      </c>
      <c r="N59" s="124" t="s">
        <v>284</v>
      </c>
    </row>
    <row r="60" spans="1:14">
      <c r="A60" s="34"/>
      <c r="B60" s="35"/>
      <c r="C60" s="35"/>
      <c r="D60" s="35"/>
      <c r="E60" s="35"/>
      <c r="F60" s="35"/>
      <c r="G60" s="114" t="s">
        <v>300</v>
      </c>
      <c r="H60" s="119" t="s">
        <v>297</v>
      </c>
      <c r="I60" s="35"/>
      <c r="J60" s="35"/>
      <c r="K60" s="35"/>
      <c r="L60" s="35"/>
      <c r="M60" s="185" t="s">
        <v>226</v>
      </c>
      <c r="N60" s="124" t="s">
        <v>765</v>
      </c>
    </row>
    <row r="61" spans="1:14">
      <c r="A61" s="34"/>
      <c r="B61" s="35"/>
      <c r="C61" s="35"/>
      <c r="D61" s="35"/>
      <c r="E61" s="35"/>
      <c r="F61" s="35"/>
      <c r="G61" s="114" t="s">
        <v>517</v>
      </c>
      <c r="H61" s="119" t="s">
        <v>298</v>
      </c>
      <c r="I61" s="35"/>
      <c r="J61" s="35"/>
      <c r="K61" s="35"/>
      <c r="L61" s="35"/>
      <c r="M61" s="185" t="s">
        <v>230</v>
      </c>
      <c r="N61" s="124" t="s">
        <v>771</v>
      </c>
    </row>
    <row r="62" spans="1:14" ht="15.75" thickBot="1">
      <c r="A62" s="37"/>
      <c r="B62" s="38"/>
      <c r="C62" s="38"/>
      <c r="D62" s="38"/>
      <c r="E62" s="38"/>
      <c r="F62" s="38"/>
      <c r="G62" s="38"/>
      <c r="H62" s="38"/>
      <c r="I62" s="38"/>
      <c r="J62" s="38"/>
      <c r="K62" s="38"/>
      <c r="L62" s="38"/>
      <c r="M62" s="38"/>
      <c r="N62" s="39"/>
    </row>
    <row r="63" spans="1:14" ht="18.75">
      <c r="A63" s="19"/>
      <c r="B63" s="20" t="s">
        <v>717</v>
      </c>
      <c r="C63" s="21"/>
      <c r="D63" s="21"/>
      <c r="E63" s="21"/>
      <c r="F63" s="302" t="str">
        <f>IF(DAWorkings!AB44=TRUE,DAWorkings!AB45,"")</f>
        <v>There are no practitioners (D.6) for your Charity, therefore go to the next section</v>
      </c>
      <c r="G63" s="21"/>
      <c r="H63" s="21"/>
      <c r="I63" s="21"/>
      <c r="J63" s="21"/>
      <c r="K63" s="21"/>
      <c r="L63" s="21"/>
      <c r="M63" s="21"/>
      <c r="N63" s="82" t="s">
        <v>61</v>
      </c>
    </row>
    <row r="64" spans="1:14" ht="15.75">
      <c r="A64" s="23"/>
      <c r="B64" s="24"/>
      <c r="C64" s="24"/>
      <c r="D64" s="24"/>
      <c r="E64" s="24"/>
      <c r="F64" s="24"/>
      <c r="G64" s="80" t="s">
        <v>519</v>
      </c>
      <c r="H64" s="366" t="s">
        <v>14</v>
      </c>
      <c r="I64" s="366"/>
      <c r="J64" s="24"/>
      <c r="K64" s="26" t="s">
        <v>4</v>
      </c>
      <c r="L64" s="24"/>
      <c r="M64" s="24"/>
      <c r="N64" s="125" t="s">
        <v>766</v>
      </c>
    </row>
    <row r="65" spans="1:14" ht="15.75">
      <c r="A65" s="23"/>
      <c r="B65" s="24"/>
      <c r="C65" s="24"/>
      <c r="D65" s="24"/>
      <c r="E65" s="24"/>
      <c r="F65" s="24"/>
      <c r="G65" s="80" t="s">
        <v>258</v>
      </c>
      <c r="H65" s="366" t="s">
        <v>14</v>
      </c>
      <c r="I65" s="366"/>
      <c r="J65" s="24"/>
      <c r="K65" s="26" t="s">
        <v>4</v>
      </c>
      <c r="L65" s="24"/>
      <c r="M65" s="24"/>
      <c r="N65" s="125" t="s">
        <v>767</v>
      </c>
    </row>
    <row r="66" spans="1:14">
      <c r="A66" s="23"/>
      <c r="B66" s="24"/>
      <c r="C66" s="24"/>
      <c r="D66" s="24"/>
      <c r="E66" s="24"/>
      <c r="F66" s="24"/>
      <c r="G66" s="80" t="s">
        <v>514</v>
      </c>
      <c r="H66" s="366" t="s">
        <v>14</v>
      </c>
      <c r="I66" s="366"/>
      <c r="J66" s="24"/>
      <c r="K66" s="24"/>
      <c r="L66" s="24"/>
      <c r="M66" s="24"/>
      <c r="N66" s="125" t="s">
        <v>768</v>
      </c>
    </row>
    <row r="67" spans="1:14">
      <c r="A67" s="23"/>
      <c r="B67" s="24"/>
      <c r="C67" s="24"/>
      <c r="D67" s="24"/>
      <c r="E67" s="24"/>
      <c r="F67" s="24"/>
      <c r="G67" s="80" t="s">
        <v>756</v>
      </c>
      <c r="H67" s="366" t="s">
        <v>14</v>
      </c>
      <c r="I67" s="366"/>
      <c r="J67" s="24"/>
      <c r="K67" s="24"/>
      <c r="L67" s="24"/>
      <c r="M67" s="24"/>
      <c r="N67" s="125" t="s">
        <v>769</v>
      </c>
    </row>
    <row r="68" spans="1:14" ht="15.75" thickBot="1">
      <c r="A68" s="27"/>
      <c r="B68" s="28"/>
      <c r="C68" s="28"/>
      <c r="D68" s="28"/>
      <c r="E68" s="28"/>
      <c r="F68" s="28"/>
      <c r="G68" s="91" t="s">
        <v>752</v>
      </c>
      <c r="H68" s="371" t="s">
        <v>14</v>
      </c>
      <c r="I68" s="371"/>
      <c r="J68" s="28"/>
      <c r="K68" s="28"/>
      <c r="L68" s="28"/>
      <c r="M68" s="28"/>
      <c r="N68" s="312" t="s">
        <v>772</v>
      </c>
    </row>
    <row r="69" spans="1:14" ht="18.75">
      <c r="A69" s="35"/>
      <c r="B69" s="132" t="s">
        <v>718</v>
      </c>
      <c r="C69" s="35"/>
      <c r="D69" s="35"/>
      <c r="E69" s="35"/>
      <c r="F69" s="304" t="str">
        <f>IF(DAWorkings!AN44=TRUE,DAWorkings!AN45,"")</f>
        <v>The Charity does not engage in marketing activities (D.7)</v>
      </c>
      <c r="G69" s="35"/>
      <c r="H69" s="35"/>
      <c r="I69" s="35"/>
      <c r="J69" s="35"/>
      <c r="K69" s="35"/>
      <c r="L69" s="35"/>
      <c r="M69" s="35"/>
      <c r="N69" s="124" t="s">
        <v>61</v>
      </c>
    </row>
    <row r="70" spans="1:14" ht="15.75">
      <c r="A70" s="35"/>
      <c r="B70" s="35"/>
      <c r="C70" s="35"/>
      <c r="D70" s="35"/>
      <c r="E70" s="35"/>
      <c r="F70" s="35"/>
      <c r="G70" s="114" t="s">
        <v>303</v>
      </c>
      <c r="H70" s="364" t="s">
        <v>14</v>
      </c>
      <c r="I70" s="364"/>
      <c r="J70" s="35"/>
      <c r="K70" s="123" t="s">
        <v>4</v>
      </c>
      <c r="L70" s="35"/>
      <c r="M70" s="35"/>
      <c r="N70" s="124" t="s">
        <v>770</v>
      </c>
    </row>
    <row r="71" spans="1:14" ht="15.75">
      <c r="A71" s="35"/>
      <c r="B71" s="35"/>
      <c r="C71" s="35"/>
      <c r="D71" s="35"/>
      <c r="E71" s="35"/>
      <c r="F71" s="35"/>
      <c r="G71" s="114" t="s">
        <v>258</v>
      </c>
      <c r="H71" s="364" t="s">
        <v>14</v>
      </c>
      <c r="I71" s="364"/>
      <c r="J71" s="35"/>
      <c r="K71" s="123" t="s">
        <v>4</v>
      </c>
      <c r="L71" s="35"/>
      <c r="M71" s="35"/>
      <c r="N71" s="124" t="s">
        <v>291</v>
      </c>
    </row>
    <row r="72" spans="1:14" ht="15.75">
      <c r="A72" s="35"/>
      <c r="B72" s="35"/>
      <c r="C72" s="35"/>
      <c r="D72" s="35"/>
      <c r="E72" s="35"/>
      <c r="F72" s="35"/>
      <c r="G72" s="114" t="s">
        <v>756</v>
      </c>
      <c r="H72" s="364" t="s">
        <v>14</v>
      </c>
      <c r="I72" s="364"/>
      <c r="J72" s="35"/>
      <c r="K72" s="123"/>
      <c r="L72" s="35"/>
      <c r="M72" s="35"/>
      <c r="N72" s="124" t="s">
        <v>292</v>
      </c>
    </row>
    <row r="73" spans="1:14" ht="15.75" thickBot="1">
      <c r="A73" s="35"/>
      <c r="B73" s="35"/>
      <c r="C73" s="35"/>
      <c r="D73" s="35"/>
      <c r="E73" s="35"/>
      <c r="F73" s="35"/>
      <c r="G73" s="114" t="s">
        <v>752</v>
      </c>
      <c r="H73" s="373" t="s">
        <v>14</v>
      </c>
      <c r="I73" s="373"/>
      <c r="J73" s="35"/>
      <c r="K73" s="35"/>
      <c r="L73" s="35"/>
      <c r="M73" s="35"/>
      <c r="N73" s="124" t="s">
        <v>773</v>
      </c>
    </row>
    <row r="74" spans="1:14" ht="18.75">
      <c r="A74" s="19"/>
      <c r="B74" s="20" t="s">
        <v>413</v>
      </c>
      <c r="C74" s="181"/>
      <c r="D74" s="181"/>
      <c r="E74" s="181"/>
      <c r="F74" s="181"/>
      <c r="G74" s="181"/>
      <c r="H74" s="181"/>
      <c r="I74" s="181"/>
      <c r="J74" s="21"/>
      <c r="K74" s="21"/>
      <c r="L74" s="21"/>
      <c r="M74" s="21"/>
      <c r="N74" s="22"/>
    </row>
    <row r="75" spans="1:14" ht="15" customHeight="1">
      <c r="A75" s="23"/>
      <c r="B75" s="372" t="str">
        <f>DAWorkings!G40</f>
        <v xml:space="preserve">From the information given, no credit or debit cards are processed by the Charity. We also noted from the information provided, the Charity does not collect data that could be considered as Special Category. </v>
      </c>
      <c r="C75" s="372"/>
      <c r="D75" s="372"/>
      <c r="E75" s="372"/>
      <c r="F75" s="372"/>
      <c r="G75" s="372"/>
      <c r="H75" s="372"/>
      <c r="I75" s="372"/>
      <c r="J75" s="372"/>
      <c r="K75" s="372"/>
      <c r="L75" s="372"/>
      <c r="M75" s="372"/>
      <c r="N75" s="25"/>
    </row>
    <row r="76" spans="1:14">
      <c r="A76" s="23"/>
      <c r="B76" s="372"/>
      <c r="C76" s="372"/>
      <c r="D76" s="372"/>
      <c r="E76" s="372"/>
      <c r="F76" s="372"/>
      <c r="G76" s="372"/>
      <c r="H76" s="372"/>
      <c r="I76" s="372"/>
      <c r="J76" s="372"/>
      <c r="K76" s="372"/>
      <c r="L76" s="372"/>
      <c r="M76" s="372"/>
      <c r="N76" s="25"/>
    </row>
    <row r="77" spans="1:14">
      <c r="A77" s="23"/>
      <c r="B77" s="372"/>
      <c r="C77" s="372"/>
      <c r="D77" s="372"/>
      <c r="E77" s="372"/>
      <c r="F77" s="372"/>
      <c r="G77" s="372"/>
      <c r="H77" s="372"/>
      <c r="I77" s="372"/>
      <c r="J77" s="372"/>
      <c r="K77" s="372"/>
      <c r="L77" s="372"/>
      <c r="M77" s="372"/>
      <c r="N77" s="25"/>
    </row>
    <row r="78" spans="1:14">
      <c r="A78" s="23"/>
      <c r="B78" s="372"/>
      <c r="C78" s="372"/>
      <c r="D78" s="372"/>
      <c r="E78" s="372"/>
      <c r="F78" s="372"/>
      <c r="G78" s="372"/>
      <c r="H78" s="372"/>
      <c r="I78" s="372"/>
      <c r="J78" s="372"/>
      <c r="K78" s="372"/>
      <c r="L78" s="372"/>
      <c r="M78" s="372"/>
      <c r="N78" s="25"/>
    </row>
    <row r="79" spans="1:14">
      <c r="A79" s="23"/>
      <c r="B79" s="372"/>
      <c r="C79" s="372"/>
      <c r="D79" s="372"/>
      <c r="E79" s="372"/>
      <c r="F79" s="372"/>
      <c r="G79" s="372"/>
      <c r="H79" s="372"/>
      <c r="I79" s="372"/>
      <c r="J79" s="372"/>
      <c r="K79" s="372"/>
      <c r="L79" s="372"/>
      <c r="M79" s="372"/>
      <c r="N79" s="25"/>
    </row>
    <row r="80" spans="1:14">
      <c r="A80" s="23"/>
      <c r="B80" s="372"/>
      <c r="C80" s="372"/>
      <c r="D80" s="372"/>
      <c r="E80" s="372"/>
      <c r="F80" s="372"/>
      <c r="G80" s="372"/>
      <c r="H80" s="372"/>
      <c r="I80" s="372"/>
      <c r="J80" s="372"/>
      <c r="K80" s="372"/>
      <c r="L80" s="372"/>
      <c r="M80" s="372"/>
      <c r="N80" s="25"/>
    </row>
    <row r="81" spans="1:14">
      <c r="A81" s="23"/>
      <c r="B81" s="149"/>
      <c r="C81" s="149"/>
      <c r="D81" s="149"/>
      <c r="E81" s="149"/>
      <c r="F81" s="149"/>
      <c r="G81" s="149"/>
      <c r="H81" s="149"/>
      <c r="I81" s="149"/>
      <c r="J81" s="149"/>
      <c r="K81" s="149"/>
      <c r="L81" s="149"/>
      <c r="M81" s="149"/>
      <c r="N81" s="25"/>
    </row>
    <row r="82" spans="1:14" ht="15.75" thickBot="1">
      <c r="A82" s="27"/>
      <c r="B82" s="182" t="s">
        <v>414</v>
      </c>
      <c r="C82" s="28"/>
      <c r="D82" s="28"/>
      <c r="E82" s="28"/>
      <c r="F82" s="28"/>
      <c r="G82" s="28"/>
      <c r="H82" s="28"/>
      <c r="I82" s="28"/>
      <c r="J82" s="28"/>
      <c r="K82" s="28"/>
      <c r="L82" s="28"/>
      <c r="M82" s="28"/>
      <c r="N82" s="29"/>
    </row>
  </sheetData>
  <mergeCells count="40">
    <mergeCell ref="B8:M9"/>
    <mergeCell ref="B10:M13"/>
    <mergeCell ref="B14:M16"/>
    <mergeCell ref="B5:C5"/>
    <mergeCell ref="B6:M7"/>
    <mergeCell ref="B19:M22"/>
    <mergeCell ref="H37:K37"/>
    <mergeCell ref="H31:I31"/>
    <mergeCell ref="H25:I25"/>
    <mergeCell ref="H26:I26"/>
    <mergeCell ref="H27:I27"/>
    <mergeCell ref="H28:I28"/>
    <mergeCell ref="H32:I32"/>
    <mergeCell ref="H33:I33"/>
    <mergeCell ref="H34:I34"/>
    <mergeCell ref="H35:I35"/>
    <mergeCell ref="H36:I36"/>
    <mergeCell ref="H55:I55"/>
    <mergeCell ref="H56:I56"/>
    <mergeCell ref="H41:I41"/>
    <mergeCell ref="H42:I42"/>
    <mergeCell ref="H45:I45"/>
    <mergeCell ref="H48:I48"/>
    <mergeCell ref="H49:I49"/>
    <mergeCell ref="H50:I50"/>
    <mergeCell ref="H43:I43"/>
    <mergeCell ref="H44:I44"/>
    <mergeCell ref="H51:I51"/>
    <mergeCell ref="B75:M80"/>
    <mergeCell ref="H64:I64"/>
    <mergeCell ref="H65:I65"/>
    <mergeCell ref="H70:I70"/>
    <mergeCell ref="H66:I66"/>
    <mergeCell ref="H73:I73"/>
    <mergeCell ref="H71:I71"/>
    <mergeCell ref="H57:I57"/>
    <mergeCell ref="H67:I67"/>
    <mergeCell ref="H58:I58"/>
    <mergeCell ref="H68:I68"/>
    <mergeCell ref="H72:I72"/>
  </mergeCells>
  <conditionalFormatting sqref="A71:H71 J71:N71">
    <cfRule type="expression" dxfId="43" priority="1">
      <formula>$H$70="Paper only"</formula>
    </cfRule>
  </conditionalFormatting>
  <conditionalFormatting sqref="A26:N26 A27:H27 J27:N27">
    <cfRule type="expression" dxfId="42" priority="7">
      <formula>$H$25="Paper Only"</formula>
    </cfRule>
  </conditionalFormatting>
  <conditionalFormatting sqref="A32:N32">
    <cfRule type="expression" dxfId="41" priority="6">
      <formula>$H$31="Paper Only"</formula>
    </cfRule>
  </conditionalFormatting>
  <conditionalFormatting sqref="A42:N42">
    <cfRule type="expression" dxfId="40" priority="5">
      <formula>$H$41="Paper Only"</formula>
    </cfRule>
  </conditionalFormatting>
  <conditionalFormatting sqref="A49:N49">
    <cfRule type="expression" dxfId="39" priority="4">
      <formula>$H$48="Paper Only"</formula>
    </cfRule>
  </conditionalFormatting>
  <conditionalFormatting sqref="A56:N56">
    <cfRule type="expression" dxfId="38" priority="3">
      <formula>$H$55="Paper Only"</formula>
    </cfRule>
  </conditionalFormatting>
  <conditionalFormatting sqref="A65:N65">
    <cfRule type="expression" dxfId="37" priority="2">
      <formula>$H$64="Paper Only"</formula>
    </cfRule>
  </conditionalFormatting>
  <dataValidations count="6">
    <dataValidation type="list" allowBlank="1" showInputMessage="1" showErrorMessage="1" sqref="H25 H31 H41 H48 H55 H64 H70" xr:uid="{7ABC97BA-FF37-4574-B724-726D1868274D}">
      <formula1>Data_Capture</formula1>
    </dataValidation>
    <dataValidation type="list" allowBlank="1" showInputMessage="1" showErrorMessage="1" sqref="H26 H32 H42 H49 H56 H65 H71" xr:uid="{9559E0EC-22DA-463D-A7D8-EF354B34C53D}">
      <formula1>Country_storage</formula1>
    </dataValidation>
    <dataValidation type="list" allowBlank="1" showInputMessage="1" showErrorMessage="1" sqref="H66 H33:H34" xr:uid="{F2EA5FF1-E1CF-4C51-B52C-6541994BB40A}">
      <formula1>YesNo</formula1>
    </dataValidation>
    <dataValidation type="list" allowBlank="1" showInputMessage="1" showErrorMessage="1" sqref="H35 H43 H50 H67 H57 H72" xr:uid="{0FB443A7-31C7-430C-AF11-36729F41FCD5}">
      <formula1>Application</formula1>
    </dataValidation>
    <dataValidation type="list" allowBlank="1" showInputMessage="1" showErrorMessage="1" sqref="H36 H44 H51 H58 H73 H68 H29 H27" xr:uid="{7A82AFE2-B58F-4413-8E31-6CF46C3F1045}">
      <formula1>Security</formula1>
    </dataValidation>
    <dataValidation type="list" allowBlank="1" showInputMessage="1" showErrorMessage="1" sqref="H28" xr:uid="{E4A20AE9-29C6-47DF-AF0F-FB318D752AB0}">
      <formula1>"Please Select:,Yes,No"</formula1>
    </dataValidation>
  </dataValidation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4" id="{08FA54C0-C597-4277-BFFC-9BE653704EE7}">
            <xm:f>DAWorkings!$J$44=TRUE</xm:f>
            <x14:dxf>
              <font>
                <color theme="0" tint="-0.24994659260841701"/>
              </font>
            </x14:dxf>
          </x14:cfRule>
          <xm:sqref>B45:N45 K41:N44 B42:H44 B41:I41</xm:sqref>
        </x14:conditionalFormatting>
        <x14:conditionalFormatting xmlns:xm="http://schemas.microsoft.com/office/excel/2006/main">
          <x14:cfRule type="expression" priority="13" id="{B9D65158-6322-4BA1-B7BD-2BEA0E89547A}">
            <xm:f>DAWorkings!$V$54=FALSE</xm:f>
            <x14:dxf>
              <font>
                <color theme="0" tint="-0.14996795556505021"/>
              </font>
            </x14:dxf>
          </x14:cfRule>
          <xm:sqref>B59:N59</xm:sqref>
        </x14:conditionalFormatting>
        <x14:conditionalFormatting xmlns:xm="http://schemas.microsoft.com/office/excel/2006/main">
          <x14:cfRule type="expression" priority="12" id="{7255640B-52BB-4516-B78C-AB291FE16BFA}">
            <xm:f>DAWorkings!$V$53=FALSE</xm:f>
            <x14:dxf>
              <font>
                <color theme="0" tint="-0.14996795556505021"/>
              </font>
            </x14:dxf>
          </x14:cfRule>
          <xm:sqref>B60:N60</xm:sqref>
        </x14:conditionalFormatting>
        <x14:conditionalFormatting xmlns:xm="http://schemas.microsoft.com/office/excel/2006/main">
          <x14:cfRule type="expression" priority="11" id="{9AB944EB-94DE-41C7-B1D8-852BAAF0055E}">
            <xm:f>DAWorkings!$V$55=FALSE</xm:f>
            <x14:dxf>
              <font>
                <color theme="0" tint="-0.14996795556505021"/>
              </font>
            </x14:dxf>
          </x14:cfRule>
          <xm:sqref>B61:N61</xm:sqref>
        </x14:conditionalFormatting>
        <x14:conditionalFormatting xmlns:xm="http://schemas.microsoft.com/office/excel/2006/main">
          <x14:cfRule type="expression" priority="47" id="{E2E4FFB1-4877-44DE-828B-984B1E50AC68}">
            <xm:f>DAWorkings!$E$13&lt;&gt;"Outsourced"</xm:f>
            <x14:dxf>
              <font>
                <color theme="0" tint="-0.24994659260841701"/>
              </font>
            </x14:dxf>
          </x14:cfRule>
          <xm:sqref>G37:N37</xm:sqref>
        </x14:conditionalFormatting>
        <x14:conditionalFormatting xmlns:xm="http://schemas.microsoft.com/office/excel/2006/main">
          <x14:cfRule type="expression" priority="46" id="{2AB8011D-66BD-4FC4-B8BA-B4F82D9C9F58}">
            <xm:f>DAWorkings!$E$15&lt;&gt;"Outsourced"</xm:f>
            <x14:dxf>
              <font>
                <color theme="0" tint="-0.24994659260841701"/>
              </font>
            </x14:dxf>
          </x14:cfRule>
          <xm:sqref>G38:N38</xm:sqref>
        </x14:conditionalFormatting>
        <x14:conditionalFormatting xmlns:xm="http://schemas.microsoft.com/office/excel/2006/main">
          <x14:cfRule type="expression" priority="25" id="{25D74E8F-6311-496A-8F4E-E0F46D5BCAE0}">
            <xm:f>DAWorkings!$D$56=FALSE</xm:f>
            <x14:dxf>
              <font>
                <color theme="0" tint="-0.24994659260841701"/>
              </font>
            </x14:dxf>
          </x14:cfRule>
          <xm:sqref>G39:N39</xm:sqref>
        </x14:conditionalFormatting>
        <x14:conditionalFormatting xmlns:xm="http://schemas.microsoft.com/office/excel/2006/main">
          <x14:cfRule type="expression" priority="23" id="{BFABD79B-8BF1-4EE2-BC06-9B3ACCBAA05E}">
            <xm:f>DAWorkings!$J$54=FALSE</xm:f>
            <x14:dxf>
              <font>
                <color theme="0" tint="-0.14996795556505021"/>
              </font>
            </x14:dxf>
          </x14:cfRule>
          <xm:sqref>G45:N45</xm:sqref>
        </x14:conditionalFormatting>
        <x14:conditionalFormatting xmlns:xm="http://schemas.microsoft.com/office/excel/2006/main">
          <x14:cfRule type="expression" priority="14" id="{34228C65-DDB4-4E83-9384-C956CCE5D7A1}">
            <xm:f>DAWorkings!$P$44=TRUE</xm:f>
            <x14:dxf>
              <font>
                <color theme="0" tint="-0.14996795556505021"/>
              </font>
            </x14:dxf>
          </x14:cfRule>
          <xm:sqref>G48:N51</xm:sqref>
        </x14:conditionalFormatting>
        <x14:conditionalFormatting xmlns:xm="http://schemas.microsoft.com/office/excel/2006/main">
          <x14:cfRule type="expression" priority="21" id="{2202748A-1299-4563-AAFB-55BB0DF46269}">
            <xm:f>DAWorkings!$V$44=TRUE</xm:f>
            <x14:dxf>
              <font>
                <color theme="0" tint="-0.24994659260841701"/>
              </font>
            </x14:dxf>
          </x14:cfRule>
          <xm:sqref>G59:N61 K55:N58 G56:H58 G55:I55</xm:sqref>
        </x14:conditionalFormatting>
        <x14:conditionalFormatting xmlns:xm="http://schemas.microsoft.com/office/excel/2006/main">
          <x14:cfRule type="expression" priority="10" id="{97B86001-E4E2-4A78-99F6-B57020272FA7}">
            <xm:f>DAWorkings!$AB$44=TRUE</xm:f>
            <x14:dxf>
              <font>
                <color theme="0" tint="-0.14996795556505021"/>
              </font>
            </x14:dxf>
          </x14:cfRule>
          <xm:sqref>G64:N68</xm:sqref>
        </x14:conditionalFormatting>
        <x14:conditionalFormatting xmlns:xm="http://schemas.microsoft.com/office/excel/2006/main">
          <x14:cfRule type="expression" priority="22" id="{48CD68D0-E83C-460A-9BF2-D7B0A8C2D974}">
            <xm:f>DAWorkings!$AN$44=TRUE</xm:f>
            <x14:dxf>
              <font>
                <color theme="0" tint="-0.24994659260841701"/>
              </font>
            </x14:dxf>
          </x14:cfRule>
          <xm:sqref>G70:N73</xm:sqref>
        </x14:conditionalFormatting>
        <x14:conditionalFormatting xmlns:xm="http://schemas.microsoft.com/office/excel/2006/main">
          <x14:cfRule type="expression" priority="15" id="{06329A90-7E90-40EE-BC76-FA7CE47AFB1A}">
            <xm:f>DAWorkings!$D$44=TRUE</xm:f>
            <x14:dxf>
              <font>
                <color theme="0" tint="-0.14996795556505021"/>
              </font>
            </x14:dxf>
          </x14:cfRule>
          <xm:sqref>K31:N32 G32:H32 G31:I31 G33:N34 G35:H36 J35:N36</xm:sqref>
        </x14:conditionalFormatting>
        <x14:conditionalFormatting xmlns:xm="http://schemas.microsoft.com/office/excel/2006/main">
          <x14:cfRule type="expression" priority="18" id="{07F017A8-C5B1-4E28-BA8E-01571CEDB7D6}">
            <xm:f>DAWorkings!$E$13&lt;&gt;"Outsourced"</xm:f>
            <x14:dxf>
              <font>
                <color theme="0" tint="-0.24994659260841701"/>
              </font>
            </x14:dxf>
          </x14:cfRule>
          <xm:sqref>M38:M39</xm:sqref>
        </x14:conditionalFormatting>
        <x14:conditionalFormatting xmlns:xm="http://schemas.microsoft.com/office/excel/2006/main">
          <x14:cfRule type="expression" priority="26" id="{34B34B92-35D6-44A6-9983-1653DF0A7A12}">
            <xm:f>DAWorkings!$D$44=TRUE</xm:f>
            <x14:dxf>
              <font>
                <color theme="0" tint="-0.14996795556505021"/>
              </font>
            </x14:dxf>
          </x14:cfRule>
          <x14:cfRule type="expression" priority="27" id="{D9176382-AEDF-40A8-8BA4-CE998F176D60}">
            <xm:f>DAWorkings!$E$15&lt;&gt;"Outsourced"</xm:f>
            <x14:dxf>
              <font>
                <color theme="0" tint="-0.24994659260841701"/>
              </font>
            </x14:dxf>
          </x14:cfRule>
          <xm:sqref>N39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631D8-295D-42B9-B653-78957C7C34A5}">
  <sheetPr codeName="Sheet5"/>
  <dimension ref="A1:BL210"/>
  <sheetViews>
    <sheetView zoomScaleNormal="100" workbookViewId="0"/>
  </sheetViews>
  <sheetFormatPr defaultRowHeight="15"/>
  <cols>
    <col min="1" max="1" width="6.140625" customWidth="1"/>
    <col min="6" max="6" width="10.7109375" bestFit="1" customWidth="1"/>
    <col min="9" max="12" width="10.7109375" bestFit="1" customWidth="1"/>
    <col min="16" max="16" width="10.7109375" bestFit="1" customWidth="1"/>
    <col min="18" max="18" width="10.7109375" bestFit="1" customWidth="1"/>
    <col min="21" max="21" width="9.7109375" customWidth="1"/>
    <col min="45" max="46" width="9.140625" style="106"/>
    <col min="48" max="48" width="27.7109375" bestFit="1" customWidth="1"/>
    <col min="49" max="49" width="9.140625" style="97"/>
    <col min="50" max="50" width="16.85546875" bestFit="1" customWidth="1"/>
    <col min="51" max="51" width="16.85546875" customWidth="1"/>
    <col min="52" max="52" width="18.42578125" bestFit="1" customWidth="1"/>
    <col min="53" max="53" width="17.28515625" style="104" bestFit="1" customWidth="1"/>
    <col min="54" max="54" width="17.28515625" bestFit="1" customWidth="1"/>
    <col min="55" max="55" width="24.85546875" bestFit="1" customWidth="1"/>
    <col min="56" max="56" width="14.42578125" bestFit="1" customWidth="1"/>
    <col min="57" max="57" width="28.85546875" bestFit="1" customWidth="1"/>
    <col min="58" max="58" width="26.85546875" bestFit="1" customWidth="1"/>
    <col min="59" max="59" width="21.7109375" bestFit="1" customWidth="1"/>
    <col min="61" max="61" width="21.7109375" bestFit="1" customWidth="1"/>
    <col min="62" max="62" width="5.140625" bestFit="1" customWidth="1"/>
  </cols>
  <sheetData>
    <row r="1" spans="1:64" ht="18.75">
      <c r="A1" s="329" t="s">
        <v>33</v>
      </c>
      <c r="L1" s="330" t="s">
        <v>434</v>
      </c>
      <c r="N1" s="330" t="s">
        <v>755</v>
      </c>
      <c r="P1" s="330" t="s">
        <v>754</v>
      </c>
      <c r="R1" s="330" t="s">
        <v>411</v>
      </c>
      <c r="T1" s="330" t="s">
        <v>753</v>
      </c>
      <c r="V1" s="330" t="s">
        <v>740</v>
      </c>
      <c r="X1" s="330" t="s">
        <v>742</v>
      </c>
      <c r="AU1" s="329" t="s">
        <v>119</v>
      </c>
      <c r="BA1" s="221" t="s">
        <v>520</v>
      </c>
    </row>
    <row r="2" spans="1:64">
      <c r="N2" s="331" t="s">
        <v>14</v>
      </c>
      <c r="O2" s="331"/>
      <c r="P2" s="331" t="s">
        <v>14</v>
      </c>
      <c r="Q2" s="331"/>
      <c r="R2" s="331" t="s">
        <v>14</v>
      </c>
      <c r="T2" s="331" t="s">
        <v>14</v>
      </c>
      <c r="V2" s="331" t="s">
        <v>14</v>
      </c>
      <c r="X2" s="331" t="s">
        <v>14</v>
      </c>
      <c r="AU2" s="110" t="s">
        <v>127</v>
      </c>
      <c r="AV2" s="331" t="s">
        <v>14</v>
      </c>
      <c r="AW2" s="104" t="s">
        <v>139</v>
      </c>
    </row>
    <row r="3" spans="1:64">
      <c r="A3" s="332"/>
      <c r="B3" s="333" t="s">
        <v>38</v>
      </c>
      <c r="C3" s="332"/>
      <c r="D3" s="332"/>
      <c r="E3" s="332"/>
      <c r="F3" s="332"/>
      <c r="G3" s="332"/>
      <c r="N3" s="331" t="s">
        <v>264</v>
      </c>
      <c r="O3" s="331"/>
      <c r="P3" s="331" t="s">
        <v>266</v>
      </c>
      <c r="Q3" s="331"/>
      <c r="R3" s="331" t="s">
        <v>410</v>
      </c>
      <c r="T3" s="331" t="s">
        <v>737</v>
      </c>
      <c r="V3" s="331" t="s">
        <v>741</v>
      </c>
      <c r="X3" s="331" t="s">
        <v>746</v>
      </c>
      <c r="AU3">
        <v>1</v>
      </c>
      <c r="AV3" s="331" t="str">
        <f>'Privacy Essentials Introduction'!C40</f>
        <v>Public</v>
      </c>
      <c r="AW3" s="104">
        <v>1</v>
      </c>
    </row>
    <row r="4" spans="1:64">
      <c r="A4" s="332"/>
      <c r="B4" s="332"/>
      <c r="C4" s="64" t="s">
        <v>36</v>
      </c>
      <c r="D4" s="334" t="str">
        <f>'Privacy Essentials Introduction'!F17</f>
        <v>Enter your Charity name here</v>
      </c>
      <c r="E4" s="332"/>
      <c r="F4" s="332"/>
      <c r="G4" s="332"/>
      <c r="N4" s="331" t="s">
        <v>112</v>
      </c>
      <c r="O4" s="331"/>
      <c r="P4" s="331" t="s">
        <v>267</v>
      </c>
      <c r="Q4" s="331"/>
      <c r="R4" s="331" t="s">
        <v>351</v>
      </c>
      <c r="T4" s="331" t="s">
        <v>738</v>
      </c>
      <c r="V4" s="331" t="s">
        <v>826</v>
      </c>
      <c r="X4" s="331" t="s">
        <v>743</v>
      </c>
      <c r="AU4">
        <v>2</v>
      </c>
      <c r="AV4" s="331" t="str">
        <f>'Privacy Essentials Introduction'!F40</f>
        <v>Personal</v>
      </c>
      <c r="AW4" s="104">
        <v>2</v>
      </c>
    </row>
    <row r="5" spans="1:64">
      <c r="A5" s="332"/>
      <c r="B5" s="332"/>
      <c r="C5" s="64" t="s">
        <v>37</v>
      </c>
      <c r="D5" s="334" t="str">
        <f>'Privacy Essentials Introduction'!F18</f>
        <v>Enter your charity number here</v>
      </c>
      <c r="E5" s="332"/>
      <c r="F5" s="332"/>
      <c r="G5" s="332"/>
      <c r="N5" s="331" t="s">
        <v>265</v>
      </c>
      <c r="O5" s="331"/>
      <c r="P5" s="331" t="s">
        <v>265</v>
      </c>
      <c r="Q5" s="331"/>
      <c r="R5" s="331"/>
      <c r="T5" s="331" t="s">
        <v>739</v>
      </c>
      <c r="V5" s="331" t="s">
        <v>827</v>
      </c>
      <c r="X5" s="331" t="s">
        <v>744</v>
      </c>
      <c r="AU5">
        <v>3</v>
      </c>
      <c r="AV5" s="331" t="str">
        <f>'Privacy Essentials Introduction'!I40</f>
        <v>Personal-Sensitive</v>
      </c>
      <c r="AW5" s="104">
        <v>3</v>
      </c>
    </row>
    <row r="6" spans="1:64">
      <c r="A6" s="332"/>
      <c r="B6" s="332"/>
      <c r="C6" s="332"/>
      <c r="D6" s="332"/>
      <c r="E6" s="332"/>
      <c r="F6" s="332"/>
      <c r="G6" s="332"/>
      <c r="V6" s="331" t="s">
        <v>739</v>
      </c>
      <c r="X6" s="331" t="s">
        <v>745</v>
      </c>
      <c r="AU6">
        <v>4</v>
      </c>
      <c r="AV6" s="331" t="str">
        <f>'Privacy Essentials Introduction'!L40</f>
        <v>Confidential</v>
      </c>
      <c r="AW6" s="104">
        <v>4</v>
      </c>
    </row>
    <row r="7" spans="1:64">
      <c r="X7" s="331" t="s">
        <v>762</v>
      </c>
    </row>
    <row r="8" spans="1:64">
      <c r="B8" s="335" t="s">
        <v>58</v>
      </c>
      <c r="C8" s="336"/>
      <c r="D8" s="336"/>
      <c r="E8" s="336"/>
      <c r="F8" s="336"/>
      <c r="H8" s="335" t="s">
        <v>59</v>
      </c>
      <c r="I8" s="336"/>
      <c r="J8" s="336"/>
      <c r="K8" s="336"/>
      <c r="L8" s="336"/>
      <c r="N8" s="335" t="s">
        <v>60</v>
      </c>
      <c r="O8" s="336"/>
      <c r="P8" s="336"/>
      <c r="Q8" s="336"/>
      <c r="R8" s="336"/>
      <c r="T8" s="335" t="s">
        <v>90</v>
      </c>
      <c r="U8" s="336"/>
      <c r="V8" s="336"/>
      <c r="W8" s="336"/>
      <c r="X8" s="336"/>
      <c r="Z8" s="335" t="s">
        <v>79</v>
      </c>
      <c r="AA8" s="336"/>
      <c r="AB8" s="336"/>
      <c r="AC8" s="336"/>
      <c r="AD8" s="336"/>
      <c r="AF8" s="335" t="s">
        <v>86</v>
      </c>
      <c r="AG8" s="336"/>
      <c r="AH8" s="336"/>
      <c r="AI8" s="336"/>
      <c r="AJ8" s="336"/>
      <c r="AL8" s="335" t="s">
        <v>91</v>
      </c>
      <c r="AM8" s="336"/>
      <c r="AN8" s="336"/>
      <c r="AO8" s="336"/>
      <c r="AP8" s="336"/>
      <c r="AS8" s="106" t="s">
        <v>539</v>
      </c>
      <c r="AU8" s="106">
        <v>2</v>
      </c>
      <c r="AV8" s="106">
        <v>3</v>
      </c>
      <c r="AW8" s="106">
        <v>4</v>
      </c>
      <c r="AX8" s="106">
        <v>5</v>
      </c>
      <c r="AY8" s="106">
        <v>6</v>
      </c>
      <c r="AZ8" s="106">
        <v>7</v>
      </c>
      <c r="BA8" s="106">
        <v>8</v>
      </c>
      <c r="BB8" s="106">
        <v>9</v>
      </c>
      <c r="BC8">
        <v>10</v>
      </c>
      <c r="BD8" s="106">
        <v>11</v>
      </c>
      <c r="BE8" s="106">
        <v>12</v>
      </c>
      <c r="BF8" s="106">
        <v>13</v>
      </c>
      <c r="BG8" s="106">
        <v>14</v>
      </c>
      <c r="BH8" s="106">
        <v>15</v>
      </c>
      <c r="BI8" s="106">
        <v>16</v>
      </c>
      <c r="BJ8" s="106">
        <v>17</v>
      </c>
      <c r="BK8" s="106">
        <v>18</v>
      </c>
      <c r="BL8" s="106">
        <v>19</v>
      </c>
    </row>
    <row r="9" spans="1:64">
      <c r="B9" s="89" t="str">
        <f>'D - Data Collection'!N21</f>
        <v>D.2.a</v>
      </c>
      <c r="C9" s="65"/>
      <c r="D9" s="65" t="s">
        <v>13</v>
      </c>
      <c r="E9" s="98" t="str">
        <f>'D - Data Collection'!H21</f>
        <v>Please Select:</v>
      </c>
      <c r="F9" s="336"/>
      <c r="H9" s="337" t="str">
        <f>'D - Data Collection'!N40</f>
        <v>D.3.a</v>
      </c>
      <c r="I9" s="336"/>
      <c r="J9" s="65" t="s">
        <v>56</v>
      </c>
      <c r="K9" s="89" t="str">
        <f>'D - Data Collection'!H40</f>
        <v>Please Select:</v>
      </c>
      <c r="L9" s="336"/>
      <c r="N9" s="95" t="str">
        <f>'D - Data Collection'!N53</f>
        <v>D.4.a</v>
      </c>
      <c r="O9" s="336"/>
      <c r="P9" s="65" t="s">
        <v>40</v>
      </c>
      <c r="Q9" s="89" t="str">
        <f>'D - Data Collection'!H53</f>
        <v>Please Select:</v>
      </c>
      <c r="R9" s="336"/>
      <c r="T9" s="94" t="str">
        <f>'D - Data Collection'!N65</f>
        <v>D.5.a</v>
      </c>
      <c r="U9" s="336"/>
      <c r="V9" s="65" t="s">
        <v>62</v>
      </c>
      <c r="W9" s="89" t="str">
        <f>'D - Data Collection'!H65</f>
        <v>Please Select:</v>
      </c>
      <c r="X9" s="336"/>
      <c r="Z9" s="87" t="str">
        <f>'D - Data Collection'!N78</f>
        <v>D.6.a</v>
      </c>
      <c r="AA9" s="336"/>
      <c r="AB9" s="65" t="s">
        <v>72</v>
      </c>
      <c r="AC9" s="89" t="str">
        <f>'D - Data Collection'!H78</f>
        <v>Please Select:</v>
      </c>
      <c r="AD9" s="336"/>
      <c r="AF9" s="94" t="str">
        <f>'D - Data Collection'!N15</f>
        <v>D.1.a</v>
      </c>
      <c r="AG9" s="336"/>
      <c r="AH9" s="65" t="s">
        <v>82</v>
      </c>
      <c r="AI9" s="89" t="b">
        <v>1</v>
      </c>
      <c r="AJ9" s="336"/>
      <c r="AL9" s="337" t="str">
        <f>'D - Data Collection'!N90</f>
        <v>D.7.a</v>
      </c>
      <c r="AM9" s="336"/>
      <c r="AN9" s="65" t="s">
        <v>83</v>
      </c>
      <c r="AO9" s="89" t="str">
        <f>'D - Data Collection'!H90</f>
        <v>No</v>
      </c>
      <c r="AP9" s="336"/>
      <c r="AS9" s="107" t="s">
        <v>140</v>
      </c>
      <c r="AT9" s="107" t="s">
        <v>139</v>
      </c>
      <c r="AV9" s="330" t="s">
        <v>122</v>
      </c>
      <c r="AW9" s="110" t="s">
        <v>123</v>
      </c>
      <c r="AX9" s="330" t="s">
        <v>130</v>
      </c>
      <c r="AY9" s="330" t="s">
        <v>318</v>
      </c>
      <c r="AZ9" s="330" t="s">
        <v>131</v>
      </c>
      <c r="BA9" s="109" t="s">
        <v>134</v>
      </c>
      <c r="BB9" s="330" t="s">
        <v>143</v>
      </c>
      <c r="BC9" s="330" t="s">
        <v>138</v>
      </c>
      <c r="BD9" s="330" t="s">
        <v>329</v>
      </c>
      <c r="BE9" s="330" t="s">
        <v>533</v>
      </c>
      <c r="BF9" s="330" t="s">
        <v>534</v>
      </c>
      <c r="BG9" s="330" t="s">
        <v>775</v>
      </c>
      <c r="BH9" s="330" t="s">
        <v>328</v>
      </c>
      <c r="BI9" s="330" t="s">
        <v>742</v>
      </c>
      <c r="BJ9" s="330" t="s">
        <v>833</v>
      </c>
    </row>
    <row r="10" spans="1:64">
      <c r="B10" s="89" t="str">
        <f>'D - Data Collection'!N23</f>
        <v>D.2.b</v>
      </c>
      <c r="C10" s="65"/>
      <c r="D10" s="65" t="s">
        <v>18</v>
      </c>
      <c r="E10" s="98" t="b">
        <v>0</v>
      </c>
      <c r="F10" s="336"/>
      <c r="H10" s="337" t="str">
        <f>'D - Data Collection'!N42</f>
        <v>D.3.b</v>
      </c>
      <c r="I10" s="336"/>
      <c r="J10" s="65" t="s">
        <v>32</v>
      </c>
      <c r="K10" s="89" t="b">
        <v>0</v>
      </c>
      <c r="L10" s="336"/>
      <c r="N10" s="95" t="str">
        <f>'D - Data Collection'!N55</f>
        <v>D.4.b</v>
      </c>
      <c r="O10" s="336"/>
      <c r="P10" s="65" t="s">
        <v>41</v>
      </c>
      <c r="Q10" s="89" t="b">
        <v>0</v>
      </c>
      <c r="R10" s="336"/>
      <c r="T10" s="94" t="str">
        <f>'D - Data Collection'!N67</f>
        <v>D.5.b</v>
      </c>
      <c r="U10" s="336"/>
      <c r="V10" s="65" t="s">
        <v>64</v>
      </c>
      <c r="W10" s="89" t="b">
        <v>0</v>
      </c>
      <c r="X10" s="336"/>
      <c r="Z10" s="87" t="str">
        <f>'D - Data Collection'!N80</f>
        <v>D.6.b</v>
      </c>
      <c r="AA10" s="336"/>
      <c r="AB10" s="65" t="s">
        <v>74</v>
      </c>
      <c r="AC10" s="89" t="b">
        <v>0</v>
      </c>
      <c r="AD10" s="336"/>
      <c r="AF10" s="94" t="str">
        <f>'D - Data Collection'!N16</f>
        <v>D.1.b</v>
      </c>
      <c r="AG10" s="336"/>
      <c r="AH10" s="65" t="s">
        <v>85</v>
      </c>
      <c r="AI10" s="89" t="str">
        <f>'D - Data Collection'!H16</f>
        <v>Please Select:</v>
      </c>
      <c r="AJ10" s="65" t="s">
        <v>103</v>
      </c>
      <c r="AK10" t="s">
        <v>347</v>
      </c>
      <c r="AL10" s="337" t="str">
        <f>'D - Data Collection'!N92</f>
        <v>D.7.b</v>
      </c>
      <c r="AM10" s="336"/>
      <c r="AN10" s="65" t="s">
        <v>89</v>
      </c>
      <c r="AO10" s="89" t="b">
        <v>0</v>
      </c>
      <c r="AP10" s="65" t="s">
        <v>96</v>
      </c>
      <c r="AQ10" s="97"/>
      <c r="AR10" s="97"/>
      <c r="AU10" s="330" t="s">
        <v>166</v>
      </c>
      <c r="AV10" s="108" t="s">
        <v>184</v>
      </c>
      <c r="BC10" s="330"/>
    </row>
    <row r="11" spans="1:64">
      <c r="B11" s="89" t="str">
        <f>'D - Data Collection'!N24</f>
        <v>D.2.c</v>
      </c>
      <c r="C11" s="65"/>
      <c r="D11" s="65" t="s">
        <v>22</v>
      </c>
      <c r="E11" s="98" t="b">
        <v>0</v>
      </c>
      <c r="F11" s="336"/>
      <c r="H11" s="337" t="str">
        <f>'D - Data Collection'!N43</f>
        <v>D.3.c</v>
      </c>
      <c r="I11" s="336"/>
      <c r="J11" s="65" t="s">
        <v>21</v>
      </c>
      <c r="K11" s="89" t="b">
        <v>0</v>
      </c>
      <c r="L11" s="336"/>
      <c r="N11" s="95" t="str">
        <f>'D - Data Collection'!N56</f>
        <v>D.4.c</v>
      </c>
      <c r="O11" s="336"/>
      <c r="P11" s="65" t="s">
        <v>22</v>
      </c>
      <c r="Q11" s="89" t="b">
        <v>0</v>
      </c>
      <c r="R11" s="336"/>
      <c r="T11" s="94" t="str">
        <f>'D - Data Collection'!N68</f>
        <v>D.5.c</v>
      </c>
      <c r="U11" s="336"/>
      <c r="V11" s="65" t="s">
        <v>65</v>
      </c>
      <c r="W11" s="89" t="b">
        <v>0</v>
      </c>
      <c r="X11" s="65" t="s">
        <v>96</v>
      </c>
      <c r="Z11" s="87" t="str">
        <f>'D - Data Collection'!N81</f>
        <v>D.6.c</v>
      </c>
      <c r="AA11" s="336"/>
      <c r="AB11" s="65" t="s">
        <v>75</v>
      </c>
      <c r="AC11" s="89" t="b">
        <v>0</v>
      </c>
      <c r="AD11" s="336"/>
      <c r="AF11" s="94" t="str">
        <f>'D - Data Collection'!N17</f>
        <v>D.1.c</v>
      </c>
      <c r="AG11" s="336"/>
      <c r="AH11" s="65" t="s">
        <v>46</v>
      </c>
      <c r="AI11" s="89" t="str">
        <f>'D - Data Collection'!H17</f>
        <v>Please Select:</v>
      </c>
      <c r="AJ11" s="65" t="str">
        <f>IF(AI11=$AV$5,"SC","")</f>
        <v/>
      </c>
      <c r="AL11" s="337" t="str">
        <f>'D - Data Collection'!N93</f>
        <v>D.7.c</v>
      </c>
      <c r="AM11" s="336"/>
      <c r="AN11" s="65" t="s">
        <v>22</v>
      </c>
      <c r="AO11" s="89" t="b">
        <v>0</v>
      </c>
      <c r="AP11" s="336"/>
      <c r="AS11" s="106">
        <f t="shared" ref="AS11:AS75" si="0">IF(AU11&lt;&gt;"",1,0)</f>
        <v>1</v>
      </c>
      <c r="AT11" s="106">
        <f>IF(AS11=0,"",SUM($AS$11:$AS11))</f>
        <v>1</v>
      </c>
      <c r="AU11" t="str">
        <f>IF(AV11="","",AF9)</f>
        <v>D.1.a</v>
      </c>
      <c r="AV11" s="338" t="str">
        <f>IF(AI9=TRUE,"Trustee Personal Details","")</f>
        <v>Trustee Personal Details</v>
      </c>
      <c r="AW11" s="97">
        <v>1</v>
      </c>
      <c r="AX11" t="s">
        <v>167</v>
      </c>
      <c r="AY11" t="s">
        <v>166</v>
      </c>
      <c r="AZ11" t="s">
        <v>164</v>
      </c>
      <c r="BB11" t="s">
        <v>136</v>
      </c>
      <c r="BC11" t="s">
        <v>674</v>
      </c>
      <c r="BD11" t="s">
        <v>867</v>
      </c>
      <c r="BE11" s="224" t="s">
        <v>535</v>
      </c>
      <c r="BG11" t="str">
        <f>$AJ$49</f>
        <v>Please complete W.1.b</v>
      </c>
      <c r="BH11" t="str">
        <f>IF(AW11=3,"Yes(1)","")</f>
        <v/>
      </c>
      <c r="BI11" t="str">
        <f>$AJ$50</f>
        <v>Please complete W.1.c</v>
      </c>
      <c r="BJ11" t="str">
        <f>IF(BG11="Outside UK / EU","Yes(2)","")</f>
        <v/>
      </c>
    </row>
    <row r="12" spans="1:64">
      <c r="B12" s="89" t="str">
        <f>'D - Data Collection'!N25</f>
        <v>D.2.d</v>
      </c>
      <c r="C12" s="65"/>
      <c r="D12" s="65" t="s">
        <v>25</v>
      </c>
      <c r="E12" s="98" t="b">
        <v>0</v>
      </c>
      <c r="F12" s="336"/>
      <c r="H12" s="337" t="str">
        <f>'D - Data Collection'!N44</f>
        <v>D.3.d</v>
      </c>
      <c r="I12" s="336"/>
      <c r="J12" s="65" t="s">
        <v>15</v>
      </c>
      <c r="K12" s="89" t="b">
        <v>0</v>
      </c>
      <c r="L12" s="65" t="s">
        <v>103</v>
      </c>
      <c r="M12" t="s">
        <v>345</v>
      </c>
      <c r="N12" s="95" t="str">
        <f>'D - Data Collection'!N57</f>
        <v>D.4.d</v>
      </c>
      <c r="O12" s="336"/>
      <c r="P12" s="65" t="s">
        <v>57</v>
      </c>
      <c r="Q12" s="89" t="b">
        <v>0</v>
      </c>
      <c r="R12" s="65" t="s">
        <v>103</v>
      </c>
      <c r="S12" t="s">
        <v>345</v>
      </c>
      <c r="T12" s="94" t="str">
        <f>'D - Data Collection'!N69</f>
        <v>D.5.d</v>
      </c>
      <c r="U12" s="336"/>
      <c r="V12" s="65" t="s">
        <v>70</v>
      </c>
      <c r="W12" s="89" t="str">
        <f>'D - Data Collection'!H69</f>
        <v>Please Select:</v>
      </c>
      <c r="X12" s="65" t="s">
        <v>94</v>
      </c>
      <c r="Z12" s="87" t="str">
        <f>'D - Data Collection'!N82</f>
        <v>D.6.d</v>
      </c>
      <c r="AA12" s="336"/>
      <c r="AB12" s="65" t="s">
        <v>17</v>
      </c>
      <c r="AC12" s="89" t="b">
        <v>0</v>
      </c>
      <c r="AD12" s="336"/>
      <c r="AF12" s="94" t="str">
        <f>'D - Data Collection'!N18</f>
        <v>D.1.d</v>
      </c>
      <c r="AG12" s="336"/>
      <c r="AH12" s="65" t="s">
        <v>173</v>
      </c>
      <c r="AI12" s="89" t="str">
        <f>'D - Data Collection'!H18</f>
        <v>Trustee Data Type</v>
      </c>
      <c r="AJ12" s="336"/>
      <c r="AL12" s="337" t="str">
        <f>'D - Data Collection'!N94</f>
        <v>D.7.d</v>
      </c>
      <c r="AM12" s="336"/>
      <c r="AN12" s="65" t="s">
        <v>87</v>
      </c>
      <c r="AO12" s="89" t="b">
        <v>0</v>
      </c>
      <c r="AP12" s="336"/>
      <c r="AS12" s="106">
        <f t="shared" si="0"/>
        <v>0</v>
      </c>
      <c r="AT12" s="106" t="str">
        <f>IF(AS12=0,"",SUM($AS$11:$AS12))</f>
        <v/>
      </c>
      <c r="AU12" t="str">
        <f>IF(AV12="","",AF10)</f>
        <v/>
      </c>
      <c r="AV12" s="338" t="str">
        <f>IF(AI10="Yes","Eligibilty Check","")</f>
        <v/>
      </c>
      <c r="AW12" s="97">
        <v>3</v>
      </c>
      <c r="AX12" t="s">
        <v>129</v>
      </c>
      <c r="AY12" t="s">
        <v>166</v>
      </c>
      <c r="AZ12" t="s">
        <v>164</v>
      </c>
      <c r="BB12" t="s">
        <v>136</v>
      </c>
      <c r="BC12" t="s">
        <v>674</v>
      </c>
      <c r="BD12" t="s">
        <v>865</v>
      </c>
      <c r="BE12" s="224" t="s">
        <v>535</v>
      </c>
      <c r="BG12" t="str">
        <f t="shared" ref="BG12:BG14" si="1">$AJ$49</f>
        <v>Please complete W.1.b</v>
      </c>
      <c r="BH12" t="str">
        <f t="shared" ref="BH12:BH75" si="2">IF(AW12=3,"Yes(1)","")</f>
        <v>Yes(1)</v>
      </c>
      <c r="BI12" t="str">
        <f t="shared" ref="BI12:BI14" si="3">$AJ$50</f>
        <v>Please complete W.1.c</v>
      </c>
      <c r="BJ12" t="str">
        <f t="shared" ref="BJ12:BJ75" si="4">IF(BG12="Outside UK / EU","Yes(2)","")</f>
        <v/>
      </c>
    </row>
    <row r="13" spans="1:64">
      <c r="B13" s="89" t="str">
        <f>'D - Data Collection'!N26</f>
        <v>D.2.e</v>
      </c>
      <c r="C13" s="65"/>
      <c r="D13" s="65" t="s">
        <v>55</v>
      </c>
      <c r="E13" s="98" t="str">
        <f>'D - Data Collection'!H26</f>
        <v>Please Select:</v>
      </c>
      <c r="F13" s="336"/>
      <c r="H13" s="337" t="str">
        <f>'D - Data Collection'!N45</f>
        <v>D.3.e</v>
      </c>
      <c r="I13" s="336"/>
      <c r="J13" s="65" t="s">
        <v>16</v>
      </c>
      <c r="K13" s="89" t="b">
        <v>0</v>
      </c>
      <c r="L13" s="65" t="s">
        <v>103</v>
      </c>
      <c r="M13" t="s">
        <v>347</v>
      </c>
      <c r="N13" s="95" t="str">
        <f>'D - Data Collection'!N58</f>
        <v>D.4.e</v>
      </c>
      <c r="O13" s="336"/>
      <c r="P13" s="65" t="s">
        <v>44</v>
      </c>
      <c r="Q13" s="89" t="b">
        <v>0</v>
      </c>
      <c r="R13" s="336"/>
      <c r="T13" s="94" t="str">
        <f>'D - Data Collection'!N70</f>
        <v>D.5.e</v>
      </c>
      <c r="U13" s="336"/>
      <c r="V13" s="65" t="s">
        <v>67</v>
      </c>
      <c r="W13" s="89" t="str">
        <f>'D - Data Collection'!H70</f>
        <v>Please Select:</v>
      </c>
      <c r="X13" s="336"/>
      <c r="Z13" s="87" t="str">
        <f>'D - Data Collection'!N83</f>
        <v>D.6.g</v>
      </c>
      <c r="AA13" s="336"/>
      <c r="AB13" s="65" t="s">
        <v>76</v>
      </c>
      <c r="AC13" s="89" t="b">
        <v>0</v>
      </c>
      <c r="AD13" s="65" t="s">
        <v>103</v>
      </c>
      <c r="AE13" t="s">
        <v>345</v>
      </c>
      <c r="AF13" s="336"/>
      <c r="AG13" s="336"/>
      <c r="AH13" s="336"/>
      <c r="AI13" s="99"/>
      <c r="AJ13" s="336"/>
      <c r="AL13" s="337" t="str">
        <f>'D - Data Collection'!N95</f>
        <v>D.7.e</v>
      </c>
      <c r="AM13" s="336"/>
      <c r="AN13" s="65" t="s">
        <v>46</v>
      </c>
      <c r="AO13" s="89" t="str">
        <f>'D - Data Collection'!H95</f>
        <v>Please Select:</v>
      </c>
      <c r="AP13" s="65" t="str">
        <f>IF(AO13="Special Category","SC","")</f>
        <v/>
      </c>
      <c r="AQ13" s="97"/>
      <c r="AR13" s="97"/>
      <c r="AS13" s="106">
        <f t="shared" si="0"/>
        <v>0</v>
      </c>
      <c r="AT13" s="106" t="str">
        <f>IF(AS13=0,"",SUM($AS$11:$AS13))</f>
        <v/>
      </c>
      <c r="AU13" t="str">
        <f>IF(AV13="","",AF12)</f>
        <v/>
      </c>
      <c r="AV13" s="338" t="str">
        <f>IF(AI11&lt;&gt;"Please Select:",AI12,"")</f>
        <v/>
      </c>
      <c r="AW13" s="97" t="str">
        <f>_xlfn.IFNA(VLOOKUP(AI11,$AV$3:$AW$6,2,FALSE),"")</f>
        <v/>
      </c>
      <c r="AX13" t="s">
        <v>174</v>
      </c>
      <c r="AY13" t="s">
        <v>166</v>
      </c>
      <c r="AZ13" t="s">
        <v>174</v>
      </c>
      <c r="BA13" t="s">
        <v>174</v>
      </c>
      <c r="BB13" t="s">
        <v>174</v>
      </c>
      <c r="BC13" t="s">
        <v>674</v>
      </c>
      <c r="BD13" t="s">
        <v>867</v>
      </c>
      <c r="BE13" s="224" t="s">
        <v>535</v>
      </c>
      <c r="BG13" t="str">
        <f t="shared" si="1"/>
        <v>Please complete W.1.b</v>
      </c>
      <c r="BH13" t="str">
        <f t="shared" si="2"/>
        <v/>
      </c>
      <c r="BI13" t="str">
        <f t="shared" si="3"/>
        <v>Please complete W.1.c</v>
      </c>
      <c r="BJ13" t="str">
        <f t="shared" si="4"/>
        <v/>
      </c>
    </row>
    <row r="14" spans="1:64">
      <c r="B14" s="89"/>
      <c r="C14" s="65"/>
      <c r="D14" s="65"/>
      <c r="E14" s="98"/>
      <c r="F14" s="336"/>
      <c r="H14" s="337"/>
      <c r="I14" s="336"/>
      <c r="J14" s="65"/>
      <c r="K14" s="89"/>
      <c r="L14" s="65"/>
      <c r="N14" s="95"/>
      <c r="O14" s="336"/>
      <c r="P14" s="65"/>
      <c r="Q14" s="89"/>
      <c r="R14" s="336"/>
      <c r="T14" s="94"/>
      <c r="U14" s="336"/>
      <c r="V14" s="65"/>
      <c r="W14" s="89"/>
      <c r="X14" s="336"/>
      <c r="Z14" s="87"/>
      <c r="AA14" s="336"/>
      <c r="AB14" s="65"/>
      <c r="AC14" s="89"/>
      <c r="AD14" s="65"/>
      <c r="AF14" s="336"/>
      <c r="AG14" s="336"/>
      <c r="AH14" s="336"/>
      <c r="AI14" s="99"/>
      <c r="AJ14" s="336"/>
      <c r="AL14" s="337"/>
      <c r="AM14" s="336"/>
      <c r="AN14" s="65"/>
      <c r="AO14" s="89"/>
      <c r="AP14" s="65"/>
      <c r="AQ14" s="97"/>
      <c r="AR14" s="97"/>
      <c r="AS14" s="106">
        <f>IF(AU14&lt;&gt;"",1,0)</f>
        <v>0</v>
      </c>
      <c r="AT14" s="106" t="str">
        <f>IF(AS14=0,"",SUM($AS$11:$AS14))</f>
        <v/>
      </c>
      <c r="AU14" t="str">
        <f>IF(AV14="","","W.1")</f>
        <v/>
      </c>
      <c r="AV14" s="338" t="str">
        <f>IF(AI11&lt;&gt;"Please Select:","Minutes","")</f>
        <v/>
      </c>
      <c r="AW14" s="97">
        <v>4</v>
      </c>
      <c r="AX14" t="s">
        <v>167</v>
      </c>
      <c r="AY14" t="s">
        <v>166</v>
      </c>
      <c r="AZ14" t="s">
        <v>631</v>
      </c>
      <c r="BA14"/>
      <c r="BB14" t="s">
        <v>160</v>
      </c>
      <c r="BC14" t="s">
        <v>674</v>
      </c>
      <c r="BD14" t="s">
        <v>867</v>
      </c>
      <c r="BE14" s="224" t="s">
        <v>535</v>
      </c>
      <c r="BG14" t="str">
        <f t="shared" si="1"/>
        <v>Please complete W.1.b</v>
      </c>
      <c r="BH14" t="str">
        <f t="shared" si="2"/>
        <v/>
      </c>
      <c r="BI14" t="str">
        <f t="shared" si="3"/>
        <v>Please complete W.1.c</v>
      </c>
      <c r="BJ14" t="str">
        <f t="shared" si="4"/>
        <v/>
      </c>
    </row>
    <row r="15" spans="1:64">
      <c r="B15" s="89" t="str">
        <f>'D - Data Collection'!N27</f>
        <v>D.2.f</v>
      </c>
      <c r="C15" s="65"/>
      <c r="D15" s="65" t="s">
        <v>24</v>
      </c>
      <c r="E15" s="98" t="str">
        <f>'D - Data Collection'!H27</f>
        <v>Please Select:</v>
      </c>
      <c r="F15" s="336"/>
      <c r="H15" s="337" t="str">
        <f>'D - Data Collection'!N46</f>
        <v>D.3.f</v>
      </c>
      <c r="I15" s="336"/>
      <c r="J15" s="65" t="s">
        <v>20</v>
      </c>
      <c r="K15" s="89" t="b">
        <v>0</v>
      </c>
      <c r="L15" s="65" t="s">
        <v>103</v>
      </c>
      <c r="M15" t="s">
        <v>346</v>
      </c>
      <c r="N15" s="95" t="str">
        <f>'D - Data Collection'!N59</f>
        <v>D.4.f</v>
      </c>
      <c r="O15" s="336"/>
      <c r="P15" s="65" t="s">
        <v>43</v>
      </c>
      <c r="Q15" s="89" t="b">
        <v>0</v>
      </c>
      <c r="R15" s="336"/>
      <c r="T15" s="94" t="str">
        <f>'D - Data Collection'!N71</f>
        <v>D.5.f</v>
      </c>
      <c r="U15" s="336"/>
      <c r="V15" s="65" t="s">
        <v>66</v>
      </c>
      <c r="W15" s="89" t="b">
        <v>0</v>
      </c>
      <c r="X15" s="336"/>
      <c r="Z15" s="87" t="str">
        <f>'D - Data Collection'!N84</f>
        <v>D.6.e</v>
      </c>
      <c r="AA15" s="336"/>
      <c r="AB15" s="65" t="s">
        <v>77</v>
      </c>
      <c r="AC15" s="89" t="str">
        <f>'D - Data Collection'!H84</f>
        <v>Please Select:</v>
      </c>
      <c r="AD15" s="336"/>
      <c r="AF15" s="336"/>
      <c r="AG15" s="336"/>
      <c r="AH15" s="336"/>
      <c r="AI15" s="99"/>
      <c r="AJ15" s="336"/>
      <c r="AL15" s="337" t="str">
        <f>'D - Data Collection'!N96</f>
        <v>D.7.f</v>
      </c>
      <c r="AM15" s="336"/>
      <c r="AN15" s="65" t="s">
        <v>173</v>
      </c>
      <c r="AO15" s="99" t="str">
        <f>'D - Data Collection'!H96</f>
        <v>Marketing Datatype</v>
      </c>
      <c r="AP15" s="336"/>
      <c r="AS15" s="106">
        <f t="shared" si="0"/>
        <v>0</v>
      </c>
      <c r="AT15" s="106" t="str">
        <f>IF(AS15=0,"",SUM($AS$11:$AS15))</f>
        <v/>
      </c>
      <c r="AV15" s="330"/>
      <c r="AW15" s="110"/>
      <c r="AX15" s="330"/>
      <c r="AY15" s="330"/>
      <c r="AZ15" s="330"/>
      <c r="BA15" s="109"/>
      <c r="BB15" s="330"/>
      <c r="BE15" t="s">
        <v>174</v>
      </c>
      <c r="BG15" t="s">
        <v>174</v>
      </c>
      <c r="BH15" t="str">
        <f t="shared" si="2"/>
        <v/>
      </c>
      <c r="BI15" t="s">
        <v>174</v>
      </c>
      <c r="BJ15" t="str">
        <f t="shared" si="4"/>
        <v/>
      </c>
    </row>
    <row r="16" spans="1:64">
      <c r="B16" s="89" t="str">
        <f>'D - Data Collection'!N28</f>
        <v>D.2.g</v>
      </c>
      <c r="C16" s="65"/>
      <c r="D16" s="65" t="s">
        <v>42</v>
      </c>
      <c r="E16" s="98" t="b">
        <v>0</v>
      </c>
      <c r="F16" s="336"/>
      <c r="H16" s="337" t="str">
        <f>'D - Data Collection'!N47</f>
        <v>D.3.g</v>
      </c>
      <c r="I16" s="336"/>
      <c r="J16" s="65" t="s">
        <v>17</v>
      </c>
      <c r="K16" s="89" t="b">
        <v>0</v>
      </c>
      <c r="L16" s="336"/>
      <c r="N16" s="95" t="str">
        <f>'D - Data Collection'!N60</f>
        <v>D.4.g</v>
      </c>
      <c r="O16" s="336"/>
      <c r="P16" s="65" t="s">
        <v>45</v>
      </c>
      <c r="Q16" s="89" t="b">
        <v>0</v>
      </c>
      <c r="R16" s="65" t="s">
        <v>103</v>
      </c>
      <c r="S16" t="s">
        <v>345</v>
      </c>
      <c r="T16" s="94" t="str">
        <f>'D - Data Collection'!N72</f>
        <v>D.5.g</v>
      </c>
      <c r="U16" s="336"/>
      <c r="V16" s="65" t="s">
        <v>68</v>
      </c>
      <c r="W16" s="89" t="str">
        <f>'D - Data Collection'!H72</f>
        <v>Please Select:</v>
      </c>
      <c r="X16" s="336"/>
      <c r="Z16" s="87" t="str">
        <f>'D - Data Collection'!N85</f>
        <v>D.6.f</v>
      </c>
      <c r="AA16" s="336"/>
      <c r="AB16" s="65" t="s">
        <v>78</v>
      </c>
      <c r="AC16" s="89" t="str">
        <f>'D - Data Collection'!H85</f>
        <v>Please Select:</v>
      </c>
      <c r="AD16" s="336"/>
      <c r="AF16" s="336"/>
      <c r="AG16" s="336"/>
      <c r="AH16" s="336"/>
      <c r="AI16" s="99"/>
      <c r="AJ16" s="336"/>
      <c r="AL16" s="336"/>
      <c r="AM16" s="336"/>
      <c r="AN16" s="336"/>
      <c r="AO16" s="99"/>
      <c r="AP16" s="336"/>
      <c r="AT16" s="106" t="str">
        <f>IF(AS16=0,"",SUM($AS$11:$AS16))</f>
        <v/>
      </c>
      <c r="AU16" s="110" t="s">
        <v>120</v>
      </c>
      <c r="AV16" s="105" t="b">
        <f>IF(E9="Yes", TRUE,FALSE)</f>
        <v>0</v>
      </c>
      <c r="AW16" s="110"/>
      <c r="AX16" s="330"/>
      <c r="AY16" s="330"/>
      <c r="AZ16" s="330"/>
      <c r="BA16" s="109"/>
      <c r="BB16" s="330"/>
      <c r="BH16" t="str">
        <f t="shared" si="2"/>
        <v/>
      </c>
      <c r="BJ16" t="str">
        <f t="shared" si="4"/>
        <v/>
      </c>
    </row>
    <row r="17" spans="2:62">
      <c r="B17" s="89" t="str">
        <f>'D - Data Collection'!N29</f>
        <v>D.2.h</v>
      </c>
      <c r="C17" s="65"/>
      <c r="D17" s="65" t="s">
        <v>19</v>
      </c>
      <c r="E17" s="98" t="b">
        <v>0</v>
      </c>
      <c r="F17" s="336"/>
      <c r="H17" s="337" t="str">
        <f>'D - Data Collection'!N48</f>
        <v>D.3.h</v>
      </c>
      <c r="I17" s="336"/>
      <c r="J17" s="65" t="s">
        <v>39</v>
      </c>
      <c r="K17" s="89" t="b">
        <v>0</v>
      </c>
      <c r="L17" s="336"/>
      <c r="N17" s="95" t="str">
        <f>'D - Data Collection'!N61</f>
        <v>D.4.h</v>
      </c>
      <c r="O17" s="336"/>
      <c r="P17" s="65" t="s">
        <v>46</v>
      </c>
      <c r="Q17" s="89" t="str">
        <f>'D - Data Collection'!H61</f>
        <v>Please Select:</v>
      </c>
      <c r="R17" s="65" t="str">
        <f>IF(Q17=$AV$5,"SC","")</f>
        <v/>
      </c>
      <c r="T17" s="94" t="str">
        <f>'D - Data Collection'!N73</f>
        <v>D.5.h</v>
      </c>
      <c r="U17" s="336"/>
      <c r="V17" s="65" t="s">
        <v>71</v>
      </c>
      <c r="W17" s="89" t="str">
        <f>'D - Data Collection'!H73</f>
        <v>Please Select:</v>
      </c>
      <c r="X17" s="336"/>
      <c r="Z17" s="87" t="str">
        <f>'D - Data Collection'!N86</f>
        <v>D.6.h</v>
      </c>
      <c r="AA17" s="336"/>
      <c r="AB17" s="65" t="s">
        <v>46</v>
      </c>
      <c r="AC17" s="89" t="str">
        <f>'D - Data Collection'!H86</f>
        <v>Please Select:</v>
      </c>
      <c r="AD17" s="65" t="str">
        <f>IF(AC17=$AV$5,"SC","")</f>
        <v/>
      </c>
      <c r="AF17" s="336"/>
      <c r="AG17" s="336"/>
      <c r="AH17" s="336"/>
      <c r="AI17" s="99"/>
      <c r="AJ17" s="336"/>
      <c r="AL17" s="336"/>
      <c r="AM17" s="336"/>
      <c r="AN17" s="336"/>
      <c r="AO17" s="99"/>
      <c r="AP17" s="336"/>
      <c r="AS17" s="106">
        <f t="shared" si="0"/>
        <v>0</v>
      </c>
      <c r="AT17" s="106" t="str">
        <f>IF(AS17=0,"",SUM($AS$11:$AS17))</f>
        <v/>
      </c>
      <c r="AU17" t="str">
        <f>IF(AV17="","",B10)</f>
        <v/>
      </c>
      <c r="AV17" t="str">
        <f>IF(AND($AV$16=TRUE,E10=TRUE),"Personnel Contact Details","")</f>
        <v/>
      </c>
      <c r="AW17" s="97">
        <v>2</v>
      </c>
      <c r="AX17" t="s">
        <v>129</v>
      </c>
      <c r="AY17" t="s">
        <v>120</v>
      </c>
      <c r="AZ17" t="s">
        <v>132</v>
      </c>
      <c r="BB17" t="s">
        <v>136</v>
      </c>
      <c r="BC17" t="s">
        <v>675</v>
      </c>
      <c r="BD17" t="s">
        <v>846</v>
      </c>
      <c r="BE17" s="224" t="s">
        <v>536</v>
      </c>
      <c r="BG17" t="str">
        <f>$F$52</f>
        <v>Please complete W.2.e</v>
      </c>
      <c r="BH17" t="str">
        <f t="shared" si="2"/>
        <v/>
      </c>
      <c r="BI17" t="str">
        <f t="shared" ref="BI17:BI35" si="5">$F$53</f>
        <v>Please complete W.2.f</v>
      </c>
      <c r="BJ17" t="str">
        <f t="shared" si="4"/>
        <v/>
      </c>
    </row>
    <row r="18" spans="2:62">
      <c r="B18" s="89" t="str">
        <f>'D - Data Collection'!N30</f>
        <v>D.2.i</v>
      </c>
      <c r="C18" s="65"/>
      <c r="D18" s="65" t="s">
        <v>21</v>
      </c>
      <c r="E18" s="98" t="b">
        <v>0</v>
      </c>
      <c r="F18" s="336"/>
      <c r="H18" s="337" t="str">
        <f>'D - Data Collection'!N49</f>
        <v>D.3.i</v>
      </c>
      <c r="I18" s="336"/>
      <c r="J18" s="65" t="s">
        <v>46</v>
      </c>
      <c r="K18" s="89" t="str">
        <f>'D - Data Collection'!H49</f>
        <v>Please Select:</v>
      </c>
      <c r="L18" s="65" t="str">
        <f>IF(K18=$AV$5,"SC","")</f>
        <v/>
      </c>
      <c r="N18" s="95" t="str">
        <f>'D - Data Collection'!N62</f>
        <v>D.4.i</v>
      </c>
      <c r="O18" s="336"/>
      <c r="P18" s="65" t="s">
        <v>173</v>
      </c>
      <c r="Q18" s="89" t="str">
        <f>'D - Data Collection'!H62</f>
        <v>Beneficiary datatype</v>
      </c>
      <c r="R18" s="336"/>
      <c r="T18" s="94" t="str">
        <f>'D - Data Collection'!N74</f>
        <v>D.5.i</v>
      </c>
      <c r="U18" s="336"/>
      <c r="V18" s="65" t="s">
        <v>46</v>
      </c>
      <c r="W18" s="89" t="str">
        <f>'D - Data Collection'!H74</f>
        <v>Please Select:</v>
      </c>
      <c r="X18" s="65" t="str">
        <f>IF(W18=$AV$5,"SC","")</f>
        <v/>
      </c>
      <c r="Z18" s="87" t="str">
        <f>'D - Data Collection'!N87</f>
        <v>D.6.i</v>
      </c>
      <c r="AA18" s="336"/>
      <c r="AB18" s="65" t="s">
        <v>173</v>
      </c>
      <c r="AC18" s="89" t="str">
        <f>'D - Data Collection'!H87</f>
        <v>Practitioner Datatype</v>
      </c>
      <c r="AD18" s="336"/>
      <c r="AF18" s="336"/>
      <c r="AG18" s="336"/>
      <c r="AH18" s="336"/>
      <c r="AI18" s="99"/>
      <c r="AJ18" s="336"/>
      <c r="AL18" s="336"/>
      <c r="AM18" s="336"/>
      <c r="AN18" s="336"/>
      <c r="AO18" s="99"/>
      <c r="AP18" s="336"/>
      <c r="AS18" s="106">
        <f t="shared" si="0"/>
        <v>0</v>
      </c>
      <c r="AT18" s="106" t="str">
        <f>IF(AS18=0,"",SUM($AS$11:$AS18))</f>
        <v/>
      </c>
      <c r="AU18" t="str">
        <f>IF(AV18="","",B16)</f>
        <v/>
      </c>
      <c r="AV18" t="str">
        <f>IF(AND($AV$16=TRUE,E16=TRUE),"Employment History","")</f>
        <v/>
      </c>
      <c r="AW18" s="97">
        <v>2</v>
      </c>
      <c r="AX18" t="s">
        <v>129</v>
      </c>
      <c r="AY18" t="s">
        <v>120</v>
      </c>
      <c r="AZ18" t="s">
        <v>132</v>
      </c>
      <c r="BB18" t="s">
        <v>136</v>
      </c>
      <c r="BC18" t="s">
        <v>675</v>
      </c>
      <c r="BD18" t="s">
        <v>846</v>
      </c>
      <c r="BE18" s="224" t="s">
        <v>536</v>
      </c>
      <c r="BG18" t="str">
        <f t="shared" ref="BG18:BG29" si="6">$F$52</f>
        <v>Please complete W.2.e</v>
      </c>
      <c r="BH18" t="str">
        <f t="shared" si="2"/>
        <v/>
      </c>
      <c r="BI18" t="str">
        <f t="shared" si="5"/>
        <v>Please complete W.2.f</v>
      </c>
      <c r="BJ18" t="str">
        <f t="shared" si="4"/>
        <v/>
      </c>
    </row>
    <row r="19" spans="2:62">
      <c r="B19" s="89" t="str">
        <f>'D - Data Collection'!N31</f>
        <v>D.2.j</v>
      </c>
      <c r="C19" s="65"/>
      <c r="D19" s="65" t="s">
        <v>15</v>
      </c>
      <c r="E19" s="98" t="b">
        <v>0</v>
      </c>
      <c r="F19" s="65" t="s">
        <v>103</v>
      </c>
      <c r="G19" t="s">
        <v>345</v>
      </c>
      <c r="H19" s="337" t="str">
        <f>'D - Data Collection'!N50</f>
        <v>D.3.j</v>
      </c>
      <c r="I19" s="336"/>
      <c r="J19" s="65" t="s">
        <v>173</v>
      </c>
      <c r="K19" s="89" t="str">
        <f>'D - Data Collection'!H50</f>
        <v>e.g. Volunteer Perks</v>
      </c>
      <c r="L19" s="336"/>
      <c r="N19" s="95"/>
      <c r="O19" s="336"/>
      <c r="P19" s="336"/>
      <c r="Q19" s="99"/>
      <c r="R19" s="336"/>
      <c r="T19" s="94" t="str">
        <f>'D - Data Collection'!N75</f>
        <v>D.5.j</v>
      </c>
      <c r="U19" s="336"/>
      <c r="V19" s="65" t="s">
        <v>173</v>
      </c>
      <c r="W19" s="99" t="str">
        <f>'D - Data Collection'!H75</f>
        <v>Donor Datatype</v>
      </c>
      <c r="X19" s="336"/>
      <c r="Z19" s="336"/>
      <c r="AA19" s="336"/>
      <c r="AB19" s="336"/>
      <c r="AC19" s="99"/>
      <c r="AD19" s="336"/>
      <c r="AF19" s="336"/>
      <c r="AG19" s="336"/>
      <c r="AH19" s="336"/>
      <c r="AI19" s="99"/>
      <c r="AJ19" s="336"/>
      <c r="AL19" s="336"/>
      <c r="AM19" s="336"/>
      <c r="AN19" s="336"/>
      <c r="AO19" s="99"/>
      <c r="AP19" s="336"/>
      <c r="AS19" s="106">
        <f t="shared" si="0"/>
        <v>0</v>
      </c>
      <c r="AT19" s="106" t="str">
        <f>IF(AS19=0,"",SUM($AS$11:$AS19))</f>
        <v/>
      </c>
      <c r="AU19" t="str">
        <f>IF(AV19="","",B9)</f>
        <v/>
      </c>
      <c r="AV19" t="str">
        <f>IF($AV$16=TRUE,"Pay Details","")</f>
        <v/>
      </c>
      <c r="AW19" s="97">
        <v>2</v>
      </c>
      <c r="AX19" t="s">
        <v>129</v>
      </c>
      <c r="AY19" t="s">
        <v>120</v>
      </c>
      <c r="AZ19" t="s">
        <v>132</v>
      </c>
      <c r="BB19" t="s">
        <v>137</v>
      </c>
      <c r="BC19" t="s">
        <v>675</v>
      </c>
      <c r="BD19" t="s">
        <v>850</v>
      </c>
      <c r="BE19" s="224" t="s">
        <v>536</v>
      </c>
      <c r="BG19" t="str">
        <f t="shared" si="6"/>
        <v>Please complete W.2.e</v>
      </c>
      <c r="BH19" t="str">
        <f t="shared" si="2"/>
        <v/>
      </c>
      <c r="BI19" t="str">
        <f t="shared" si="5"/>
        <v>Please complete W.2.f</v>
      </c>
      <c r="BJ19" t="str">
        <f t="shared" si="4"/>
        <v/>
      </c>
    </row>
    <row r="20" spans="2:62">
      <c r="B20" s="89" t="str">
        <f>'D - Data Collection'!N32</f>
        <v>D.2.k</v>
      </c>
      <c r="C20" s="65"/>
      <c r="D20" s="65" t="s">
        <v>16</v>
      </c>
      <c r="E20" s="98" t="b">
        <v>0</v>
      </c>
      <c r="F20" s="65" t="s">
        <v>103</v>
      </c>
      <c r="G20" t="s">
        <v>347</v>
      </c>
      <c r="H20" s="336"/>
      <c r="I20" s="336"/>
      <c r="J20" s="336"/>
      <c r="K20" s="99"/>
      <c r="L20" s="336"/>
      <c r="N20" s="336"/>
      <c r="O20" s="336"/>
      <c r="P20" s="336"/>
      <c r="Q20" s="99"/>
      <c r="R20" s="336"/>
      <c r="T20" s="94"/>
      <c r="U20" s="336"/>
      <c r="V20" s="336"/>
      <c r="W20" s="99"/>
      <c r="X20" s="336"/>
      <c r="Z20" s="336"/>
      <c r="AA20" s="336"/>
      <c r="AB20" s="336"/>
      <c r="AC20" s="99"/>
      <c r="AD20" s="336"/>
      <c r="AF20" s="336"/>
      <c r="AG20" s="336"/>
      <c r="AH20" s="336"/>
      <c r="AI20" s="99"/>
      <c r="AJ20" s="336"/>
      <c r="AL20" s="336"/>
      <c r="AM20" s="336"/>
      <c r="AN20" s="336"/>
      <c r="AO20" s="99"/>
      <c r="AP20" s="336"/>
      <c r="AS20" s="106">
        <f t="shared" si="0"/>
        <v>0</v>
      </c>
      <c r="AT20" s="106" t="str">
        <f>IF(AS20=0,"",SUM($AS$11:$AS20))</f>
        <v/>
      </c>
      <c r="AU20" t="str">
        <f>IF(AV20="","",B9)</f>
        <v/>
      </c>
      <c r="AV20" t="str">
        <f>IF($AV$16=TRUE,"Annual leave details","")</f>
        <v/>
      </c>
      <c r="AW20" s="97">
        <v>2</v>
      </c>
      <c r="AX20" t="s">
        <v>129</v>
      </c>
      <c r="AY20" t="s">
        <v>120</v>
      </c>
      <c r="AZ20" t="s">
        <v>132</v>
      </c>
      <c r="BB20" t="s">
        <v>137</v>
      </c>
      <c r="BC20" t="s">
        <v>675</v>
      </c>
      <c r="BD20" t="s">
        <v>859</v>
      </c>
      <c r="BE20" s="224" t="s">
        <v>536</v>
      </c>
      <c r="BG20" t="str">
        <f t="shared" si="6"/>
        <v>Please complete W.2.e</v>
      </c>
      <c r="BH20" t="str">
        <f t="shared" si="2"/>
        <v/>
      </c>
      <c r="BI20" t="str">
        <f t="shared" si="5"/>
        <v>Please complete W.2.f</v>
      </c>
      <c r="BJ20" t="str">
        <f t="shared" si="4"/>
        <v/>
      </c>
    </row>
    <row r="21" spans="2:62">
      <c r="B21" s="89" t="str">
        <f>'D - Data Collection'!N33</f>
        <v>D.2.l</v>
      </c>
      <c r="C21" s="65"/>
      <c r="D21" s="65" t="s">
        <v>20</v>
      </c>
      <c r="E21" s="98" t="b">
        <v>0</v>
      </c>
      <c r="F21" s="65" t="s">
        <v>103</v>
      </c>
      <c r="G21" t="s">
        <v>346</v>
      </c>
      <c r="H21" s="336"/>
      <c r="I21" s="336"/>
      <c r="J21" s="336"/>
      <c r="K21" s="99"/>
      <c r="L21" s="336"/>
      <c r="N21" s="336"/>
      <c r="O21" s="336"/>
      <c r="P21" s="336"/>
      <c r="Q21" s="99"/>
      <c r="R21" s="336"/>
      <c r="T21" s="336"/>
      <c r="U21" s="336"/>
      <c r="V21" s="336"/>
      <c r="W21" s="99"/>
      <c r="X21" s="336"/>
      <c r="Z21" s="336"/>
      <c r="AA21" s="336"/>
      <c r="AB21" s="336"/>
      <c r="AC21" s="99"/>
      <c r="AD21" s="336"/>
      <c r="AF21" s="336"/>
      <c r="AG21" s="336"/>
      <c r="AH21" s="336"/>
      <c r="AI21" s="99"/>
      <c r="AJ21" s="336"/>
      <c r="AL21" s="336"/>
      <c r="AM21" s="336"/>
      <c r="AN21" s="336"/>
      <c r="AO21" s="99"/>
      <c r="AP21" s="336"/>
      <c r="AS21" s="106">
        <f t="shared" si="0"/>
        <v>0</v>
      </c>
      <c r="AT21" s="106" t="str">
        <f>IF(AS21=0,"",SUM($AS$11:$AS21))</f>
        <v/>
      </c>
      <c r="AU21" t="str">
        <f>IF(AV21="","",B47)</f>
        <v/>
      </c>
      <c r="AV21" t="str">
        <f>IF(AND($AV$16=TRUE,D47=TRUE),"Sick leave details","")</f>
        <v/>
      </c>
      <c r="AW21" s="97">
        <v>3</v>
      </c>
      <c r="AX21" t="s">
        <v>129</v>
      </c>
      <c r="AY21" t="s">
        <v>120</v>
      </c>
      <c r="AZ21" t="s">
        <v>132</v>
      </c>
      <c r="BB21" t="s">
        <v>137</v>
      </c>
      <c r="BC21" t="s">
        <v>675</v>
      </c>
      <c r="BD21" t="s">
        <v>866</v>
      </c>
      <c r="BE21" s="224" t="s">
        <v>536</v>
      </c>
      <c r="BF21" s="224" t="s">
        <v>538</v>
      </c>
      <c r="BG21" t="str">
        <f t="shared" si="6"/>
        <v>Please complete W.2.e</v>
      </c>
      <c r="BH21" t="str">
        <f t="shared" si="2"/>
        <v>Yes(1)</v>
      </c>
      <c r="BI21" t="str">
        <f t="shared" si="5"/>
        <v>Please complete W.2.f</v>
      </c>
      <c r="BJ21" t="str">
        <f t="shared" si="4"/>
        <v/>
      </c>
    </row>
    <row r="22" spans="2:62">
      <c r="B22" s="89" t="str">
        <f>'D - Data Collection'!N34</f>
        <v>D.2.m</v>
      </c>
      <c r="C22" s="65"/>
      <c r="D22" s="65" t="s">
        <v>17</v>
      </c>
      <c r="E22" s="98" t="b">
        <v>0</v>
      </c>
      <c r="F22" s="336"/>
      <c r="H22" s="336"/>
      <c r="I22" s="336"/>
      <c r="J22" s="336"/>
      <c r="K22" s="99"/>
      <c r="L22" s="336"/>
      <c r="N22" s="336"/>
      <c r="O22" s="336"/>
      <c r="P22" s="336"/>
      <c r="Q22" s="99"/>
      <c r="R22" s="336"/>
      <c r="T22" s="336"/>
      <c r="U22" s="336"/>
      <c r="V22" s="336"/>
      <c r="W22" s="99"/>
      <c r="X22" s="336"/>
      <c r="Z22" s="336"/>
      <c r="AA22" s="336"/>
      <c r="AB22" s="336"/>
      <c r="AC22" s="99"/>
      <c r="AD22" s="336"/>
      <c r="AF22" s="336"/>
      <c r="AG22" s="336"/>
      <c r="AH22" s="336"/>
      <c r="AI22" s="99"/>
      <c r="AJ22" s="336"/>
      <c r="AL22" s="336"/>
      <c r="AM22" s="336"/>
      <c r="AN22" s="336"/>
      <c r="AO22" s="99"/>
      <c r="AP22" s="336"/>
      <c r="AS22" s="106">
        <f t="shared" si="0"/>
        <v>0</v>
      </c>
      <c r="AT22" s="106" t="str">
        <f>IF(AS22=0,"",SUM($AS$11:$AS22))</f>
        <v/>
      </c>
      <c r="AU22" t="str">
        <f>IF(AV22="","",B48)</f>
        <v/>
      </c>
      <c r="AV22" t="str">
        <f>IF(AND($AV$16=TRUE,D48=TRUE),"Performance details","")</f>
        <v/>
      </c>
      <c r="AW22" s="97">
        <v>2</v>
      </c>
      <c r="AX22" t="s">
        <v>129</v>
      </c>
      <c r="AY22" t="s">
        <v>120</v>
      </c>
      <c r="AZ22" t="s">
        <v>132</v>
      </c>
      <c r="BB22" t="s">
        <v>137</v>
      </c>
      <c r="BC22" t="s">
        <v>675</v>
      </c>
      <c r="BD22" t="s">
        <v>859</v>
      </c>
      <c r="BE22" s="224" t="s">
        <v>536</v>
      </c>
      <c r="BG22" t="str">
        <f t="shared" si="6"/>
        <v>Please complete W.2.e</v>
      </c>
      <c r="BH22" t="str">
        <f t="shared" si="2"/>
        <v/>
      </c>
      <c r="BI22" t="str">
        <f t="shared" si="5"/>
        <v>Please complete W.2.f</v>
      </c>
      <c r="BJ22" t="str">
        <f t="shared" si="4"/>
        <v/>
      </c>
    </row>
    <row r="23" spans="2:62">
      <c r="B23" s="89" t="str">
        <f>'D - Data Collection'!N35</f>
        <v>D.2.n</v>
      </c>
      <c r="C23" s="65"/>
      <c r="D23" s="65" t="s">
        <v>23</v>
      </c>
      <c r="E23" s="98" t="b">
        <v>0</v>
      </c>
      <c r="F23" s="336"/>
      <c r="H23" s="336"/>
      <c r="I23" s="336"/>
      <c r="J23" s="336"/>
      <c r="K23" s="99"/>
      <c r="L23" s="336"/>
      <c r="N23" s="336"/>
      <c r="O23" s="336"/>
      <c r="P23" s="336"/>
      <c r="Q23" s="99"/>
      <c r="R23" s="336"/>
      <c r="T23" s="336"/>
      <c r="U23" s="336"/>
      <c r="V23" s="336"/>
      <c r="W23" s="99"/>
      <c r="X23" s="336"/>
      <c r="Z23" s="336"/>
      <c r="AA23" s="336"/>
      <c r="AB23" s="336"/>
      <c r="AC23" s="99"/>
      <c r="AD23" s="336"/>
      <c r="AF23" s="336"/>
      <c r="AG23" s="336"/>
      <c r="AH23" s="336"/>
      <c r="AI23" s="99"/>
      <c r="AJ23" s="336"/>
      <c r="AL23" s="336"/>
      <c r="AM23" s="336"/>
      <c r="AN23" s="336"/>
      <c r="AO23" s="99"/>
      <c r="AP23" s="336"/>
      <c r="AS23" s="106">
        <f t="shared" si="0"/>
        <v>0</v>
      </c>
      <c r="AT23" s="106" t="str">
        <f>IF(AS23=0,"",SUM($AS$11:$AS23))</f>
        <v/>
      </c>
      <c r="AU23" t="str">
        <f t="shared" ref="AU23:AU29" si="7">IF(AV23="","",B17)</f>
        <v/>
      </c>
      <c r="AV23" t="str">
        <f>IF(AND($AV$16=TRUE,E17=TRUE),"Reference Contact Details","")</f>
        <v/>
      </c>
      <c r="AW23" s="97">
        <v>2</v>
      </c>
      <c r="AX23" t="s">
        <v>129</v>
      </c>
      <c r="AY23" t="s">
        <v>120</v>
      </c>
      <c r="AZ23" t="s">
        <v>132</v>
      </c>
      <c r="BA23" s="104" t="s">
        <v>135</v>
      </c>
      <c r="BB23" t="s">
        <v>136</v>
      </c>
      <c r="BC23" t="s">
        <v>675</v>
      </c>
      <c r="BD23" t="s">
        <v>864</v>
      </c>
      <c r="BE23" s="224" t="s">
        <v>536</v>
      </c>
      <c r="BG23" t="str">
        <f t="shared" si="6"/>
        <v>Please complete W.2.e</v>
      </c>
      <c r="BH23" t="str">
        <f t="shared" si="2"/>
        <v/>
      </c>
      <c r="BI23" t="str">
        <f t="shared" si="5"/>
        <v>Please complete W.2.f</v>
      </c>
      <c r="BJ23" t="str">
        <f t="shared" si="4"/>
        <v/>
      </c>
    </row>
    <row r="24" spans="2:62">
      <c r="B24" s="89" t="str">
        <f>'D - Data Collection'!N36</f>
        <v>D.2.o</v>
      </c>
      <c r="C24" s="65"/>
      <c r="D24" s="65" t="s">
        <v>46</v>
      </c>
      <c r="E24" s="98" t="str">
        <f>'D - Data Collection'!H36</f>
        <v>Please Select:</v>
      </c>
      <c r="F24" s="65" t="str">
        <f>IF(E24=$AV$5,"SC","")</f>
        <v/>
      </c>
      <c r="H24" s="336"/>
      <c r="I24" s="336"/>
      <c r="J24" s="336"/>
      <c r="K24" s="99"/>
      <c r="L24" s="336"/>
      <c r="N24" s="336"/>
      <c r="O24" s="336"/>
      <c r="P24" s="336"/>
      <c r="Q24" s="99"/>
      <c r="R24" s="336"/>
      <c r="T24" s="336"/>
      <c r="U24" s="336"/>
      <c r="V24" s="336"/>
      <c r="W24" s="99"/>
      <c r="X24" s="336"/>
      <c r="Z24" s="336"/>
      <c r="AA24" s="336"/>
      <c r="AB24" s="336"/>
      <c r="AC24" s="99"/>
      <c r="AD24" s="336"/>
      <c r="AF24" s="336"/>
      <c r="AG24" s="336"/>
      <c r="AH24" s="336"/>
      <c r="AI24" s="99"/>
      <c r="AJ24" s="336"/>
      <c r="AL24" s="336"/>
      <c r="AM24" s="336"/>
      <c r="AN24" s="336"/>
      <c r="AO24" s="99"/>
      <c r="AP24" s="336"/>
      <c r="AS24" s="106">
        <f t="shared" si="0"/>
        <v>0</v>
      </c>
      <c r="AT24" s="106" t="str">
        <f>IF(AS24=0,"",SUM($AS$11:$AS24))</f>
        <v/>
      </c>
      <c r="AU24" t="str">
        <f t="shared" si="7"/>
        <v/>
      </c>
      <c r="AV24" t="str">
        <f>IF(AND($AV$16=TRUE,E18=TRUE),"Emergency Contact Details","")</f>
        <v/>
      </c>
      <c r="AW24" s="97">
        <v>2</v>
      </c>
      <c r="AX24" t="s">
        <v>129</v>
      </c>
      <c r="AY24" t="s">
        <v>120</v>
      </c>
      <c r="AZ24" t="s">
        <v>132</v>
      </c>
      <c r="BB24" t="s">
        <v>136</v>
      </c>
      <c r="BC24" t="s">
        <v>675</v>
      </c>
      <c r="BD24" t="s">
        <v>866</v>
      </c>
      <c r="BE24" s="224" t="s">
        <v>536</v>
      </c>
      <c r="BG24" t="str">
        <f t="shared" si="6"/>
        <v>Please complete W.2.e</v>
      </c>
      <c r="BH24" t="str">
        <f t="shared" si="2"/>
        <v/>
      </c>
      <c r="BI24" t="str">
        <f t="shared" si="5"/>
        <v>Please complete W.2.f</v>
      </c>
      <c r="BJ24" t="str">
        <f t="shared" si="4"/>
        <v/>
      </c>
    </row>
    <row r="25" spans="2:62">
      <c r="B25" s="89" t="str">
        <f>'D - Data Collection'!N37</f>
        <v>D.2.p</v>
      </c>
      <c r="C25" s="336"/>
      <c r="D25" s="65" t="s">
        <v>173</v>
      </c>
      <c r="E25" s="89" t="str">
        <f>'D - Data Collection'!H37</f>
        <v>e.g. Employee Perks</v>
      </c>
      <c r="F25" s="336"/>
      <c r="H25" s="336"/>
      <c r="I25" s="336"/>
      <c r="J25" s="336"/>
      <c r="K25" s="99"/>
      <c r="L25" s="336"/>
      <c r="N25" s="336"/>
      <c r="O25" s="336"/>
      <c r="P25" s="336"/>
      <c r="Q25" s="99"/>
      <c r="R25" s="336"/>
      <c r="T25" s="336"/>
      <c r="U25" s="336"/>
      <c r="V25" s="336"/>
      <c r="W25" s="99"/>
      <c r="X25" s="336"/>
      <c r="Z25" s="336"/>
      <c r="AA25" s="336"/>
      <c r="AB25" s="336"/>
      <c r="AC25" s="99"/>
      <c r="AD25" s="336"/>
      <c r="AF25" s="336"/>
      <c r="AG25" s="336"/>
      <c r="AH25" s="336"/>
      <c r="AI25" s="99"/>
      <c r="AJ25" s="336"/>
      <c r="AL25" s="336"/>
      <c r="AM25" s="336"/>
      <c r="AN25" s="336"/>
      <c r="AO25" s="99"/>
      <c r="AP25" s="336"/>
      <c r="AS25" s="106">
        <f t="shared" si="0"/>
        <v>0</v>
      </c>
      <c r="AT25" s="106" t="str">
        <f>IF(AS25=0,"",SUM($AS$11:$AS25))</f>
        <v/>
      </c>
      <c r="AU25" t="str">
        <f t="shared" si="7"/>
        <v/>
      </c>
      <c r="AV25" t="str">
        <f>IF(AND($AV$16=TRUE,E19=TRUE),"Health Conditions","")</f>
        <v/>
      </c>
      <c r="AW25" s="97">
        <v>3</v>
      </c>
      <c r="AX25" t="s">
        <v>129</v>
      </c>
      <c r="AY25" t="s">
        <v>120</v>
      </c>
      <c r="AZ25" t="s">
        <v>132</v>
      </c>
      <c r="BB25" t="s">
        <v>136</v>
      </c>
      <c r="BC25" t="s">
        <v>675</v>
      </c>
      <c r="BD25" t="s">
        <v>866</v>
      </c>
      <c r="BE25" s="224" t="s">
        <v>536</v>
      </c>
      <c r="BF25" s="224" t="s">
        <v>538</v>
      </c>
      <c r="BG25" t="str">
        <f t="shared" si="6"/>
        <v>Please complete W.2.e</v>
      </c>
      <c r="BH25" t="str">
        <f t="shared" si="2"/>
        <v>Yes(1)</v>
      </c>
      <c r="BI25" t="str">
        <f t="shared" si="5"/>
        <v>Please complete W.2.f</v>
      </c>
      <c r="BJ25" t="str">
        <f t="shared" si="4"/>
        <v/>
      </c>
    </row>
    <row r="26" spans="2:62">
      <c r="B26" s="336"/>
      <c r="C26" s="336"/>
      <c r="D26" s="65" t="s">
        <v>48</v>
      </c>
      <c r="E26" s="89">
        <f>COUNTIF(E10:E24,TRUE)</f>
        <v>0</v>
      </c>
      <c r="F26" s="336"/>
      <c r="H26" s="336"/>
      <c r="I26" s="336"/>
      <c r="J26" s="65" t="s">
        <v>48</v>
      </c>
      <c r="K26" s="89">
        <f>COUNTIF(K10:K24,TRUE)</f>
        <v>0</v>
      </c>
      <c r="L26" s="336"/>
      <c r="N26" s="336"/>
      <c r="O26" s="336"/>
      <c r="P26" s="65" t="s">
        <v>48</v>
      </c>
      <c r="Q26" s="89">
        <f>COUNTIF(Q10:Q24,TRUE)</f>
        <v>0</v>
      </c>
      <c r="R26" s="336"/>
      <c r="T26" s="336"/>
      <c r="U26" s="336"/>
      <c r="V26" s="65" t="s">
        <v>48</v>
      </c>
      <c r="W26" s="89">
        <f>COUNTIF(W10:W24,TRUE)</f>
        <v>0</v>
      </c>
      <c r="X26" s="336"/>
      <c r="Z26" s="336"/>
      <c r="AA26" s="336"/>
      <c r="AB26" s="65" t="s">
        <v>48</v>
      </c>
      <c r="AC26" s="89">
        <f>COUNTIF(AC10:AC24,TRUE)</f>
        <v>0</v>
      </c>
      <c r="AD26" s="336"/>
      <c r="AF26" s="336" t="s">
        <v>92</v>
      </c>
      <c r="AG26" s="336"/>
      <c r="AH26" s="336"/>
      <c r="AI26" s="99"/>
      <c r="AJ26" s="336"/>
      <c r="AL26" s="336"/>
      <c r="AM26" s="336"/>
      <c r="AN26" s="65" t="s">
        <v>48</v>
      </c>
      <c r="AO26" s="89">
        <f>COUNTIF(AO10:AO24,TRUE)</f>
        <v>0</v>
      </c>
      <c r="AP26" s="336"/>
      <c r="AS26" s="106">
        <f t="shared" si="0"/>
        <v>0</v>
      </c>
      <c r="AT26" s="106" t="str">
        <f>IF(AS26=0,"",SUM($AS$11:$AS26))</f>
        <v/>
      </c>
      <c r="AU26" t="str">
        <f t="shared" si="7"/>
        <v/>
      </c>
      <c r="AV26" t="str">
        <f>IF(AND($AV$16=TRUE,E20=TRUE),"DBS Check","")</f>
        <v/>
      </c>
      <c r="AW26" s="97">
        <v>3</v>
      </c>
      <c r="AX26" t="s">
        <v>129</v>
      </c>
      <c r="AY26" t="s">
        <v>120</v>
      </c>
      <c r="AZ26" t="s">
        <v>132</v>
      </c>
      <c r="BA26" s="104" t="str">
        <f>D60</f>
        <v>Acme DBS Ltd.</v>
      </c>
      <c r="BB26" t="s">
        <v>160</v>
      </c>
      <c r="BC26" t="s">
        <v>675</v>
      </c>
      <c r="BD26" t="s">
        <v>861</v>
      </c>
      <c r="BE26" s="224" t="s">
        <v>536</v>
      </c>
      <c r="BF26" s="224" t="s">
        <v>538</v>
      </c>
      <c r="BG26" t="str">
        <f t="shared" si="6"/>
        <v>Please complete W.2.e</v>
      </c>
      <c r="BH26" t="str">
        <f t="shared" si="2"/>
        <v>Yes(1)</v>
      </c>
      <c r="BI26" t="str">
        <f t="shared" si="5"/>
        <v>Please complete W.2.f</v>
      </c>
      <c r="BJ26" t="str">
        <f t="shared" si="4"/>
        <v/>
      </c>
    </row>
    <row r="27" spans="2:62">
      <c r="B27" s="336"/>
      <c r="C27" s="336"/>
      <c r="D27" s="65" t="s">
        <v>49</v>
      </c>
      <c r="E27" s="89">
        <f>COUNTIF(E10:E24,"Please Select:")</f>
        <v>3</v>
      </c>
      <c r="F27" s="336"/>
      <c r="H27" s="336"/>
      <c r="I27" s="336"/>
      <c r="J27" s="65" t="s">
        <v>49</v>
      </c>
      <c r="K27" s="89">
        <f>COUNTIF(K10:K24,"Please Select:")</f>
        <v>1</v>
      </c>
      <c r="L27" s="336"/>
      <c r="N27" s="336"/>
      <c r="O27" s="336"/>
      <c r="P27" s="65" t="s">
        <v>49</v>
      </c>
      <c r="Q27" s="89">
        <f>COUNTIF(Q10:Q24,"Please Select:")</f>
        <v>1</v>
      </c>
      <c r="R27" s="336"/>
      <c r="T27" s="336"/>
      <c r="U27" s="336"/>
      <c r="V27" s="65" t="s">
        <v>49</v>
      </c>
      <c r="W27" s="89">
        <f>COUNTIF(W10:W24,"Please Select:")</f>
        <v>5</v>
      </c>
      <c r="X27" s="336"/>
      <c r="Z27" s="336"/>
      <c r="AA27" s="336"/>
      <c r="AB27" s="65" t="s">
        <v>49</v>
      </c>
      <c r="AC27" s="89">
        <f>COUNTIF(AC10:AC24,"Please Select:")</f>
        <v>3</v>
      </c>
      <c r="AD27" s="336"/>
      <c r="AF27" s="336" t="s">
        <v>93</v>
      </c>
      <c r="AG27" s="336"/>
      <c r="AH27" s="336"/>
      <c r="AI27" s="99"/>
      <c r="AJ27" s="336"/>
      <c r="AL27" s="336"/>
      <c r="AM27" s="336"/>
      <c r="AN27" s="65" t="s">
        <v>49</v>
      </c>
      <c r="AO27" s="89">
        <f>COUNTIF(AO10:AO24,"Please Select:")</f>
        <v>1</v>
      </c>
      <c r="AP27" s="336"/>
      <c r="AS27" s="106">
        <f t="shared" si="0"/>
        <v>0</v>
      </c>
      <c r="AT27" s="106" t="str">
        <f>IF(AS27=0,"",SUM($AS$11:$AS27))</f>
        <v/>
      </c>
      <c r="AU27" t="str">
        <f t="shared" si="7"/>
        <v/>
      </c>
      <c r="AV27" t="str">
        <f>IF(AND($AV$16=TRUE,E21=TRUE),"Equality or Diversity data","")</f>
        <v/>
      </c>
      <c r="AW27" s="97">
        <v>3</v>
      </c>
      <c r="AX27" t="s">
        <v>129</v>
      </c>
      <c r="AY27" t="s">
        <v>120</v>
      </c>
      <c r="AZ27" t="s">
        <v>132</v>
      </c>
      <c r="BB27" t="s">
        <v>136</v>
      </c>
      <c r="BC27" t="s">
        <v>675</v>
      </c>
      <c r="BD27" t="s">
        <v>846</v>
      </c>
      <c r="BE27" s="224" t="s">
        <v>536</v>
      </c>
      <c r="BF27" s="224" t="s">
        <v>538</v>
      </c>
      <c r="BG27" t="str">
        <f t="shared" si="6"/>
        <v>Please complete W.2.e</v>
      </c>
      <c r="BH27" t="str">
        <f t="shared" si="2"/>
        <v>Yes(1)</v>
      </c>
      <c r="BI27" t="str">
        <f t="shared" si="5"/>
        <v>Please complete W.2.f</v>
      </c>
      <c r="BJ27" t="str">
        <f t="shared" si="4"/>
        <v/>
      </c>
    </row>
    <row r="28" spans="2:62">
      <c r="B28" s="336"/>
      <c r="C28" s="336"/>
      <c r="D28" s="65" t="s">
        <v>50</v>
      </c>
      <c r="E28" s="89" t="b">
        <f>IF(E9="Yes",TRUE,IF(AND(OR(E9="Please Select:",E9="No"),E26=0,E27=3),TRUE,FALSE))</f>
        <v>1</v>
      </c>
      <c r="F28" s="336"/>
      <c r="H28" s="336"/>
      <c r="I28" s="336"/>
      <c r="J28" s="65" t="s">
        <v>50</v>
      </c>
      <c r="K28" s="89" t="b">
        <f>IF(K9="Yes",TRUE,IF(AND(OR(K9="Please Select:",K9="No"),K26=0,K27=1),TRUE,FALSE))</f>
        <v>1</v>
      </c>
      <c r="L28" s="336"/>
      <c r="N28" s="336"/>
      <c r="O28" s="336"/>
      <c r="P28" s="65" t="s">
        <v>50</v>
      </c>
      <c r="Q28" s="89" t="b">
        <f>IF(Q9="Yes",TRUE,IF(AND(OR(Q9="Please Select:",Q9="No"),Q26=0,Q27=1),TRUE,FALSE))</f>
        <v>1</v>
      </c>
      <c r="R28" s="336"/>
      <c r="T28" s="336"/>
      <c r="U28" s="336"/>
      <c r="V28" s="65" t="s">
        <v>50</v>
      </c>
      <c r="W28" s="89" t="b">
        <f>IF(W9="Yes",TRUE,IF(AND(OR(W9="Please Select:",W9="No"),W26=0,W27=5),TRUE,FALSE))</f>
        <v>1</v>
      </c>
      <c r="X28" s="336"/>
      <c r="Z28" s="336"/>
      <c r="AA28" s="336"/>
      <c r="AB28" s="65" t="s">
        <v>50</v>
      </c>
      <c r="AC28" s="89" t="b">
        <f>IF(AC9="Yes",TRUE,IF(AND(OR(AC9="Please Select:",AC9="No"),AC26=0,AC27=3),TRUE,FALSE))</f>
        <v>1</v>
      </c>
      <c r="AD28" s="336"/>
      <c r="AF28" s="336"/>
      <c r="AG28" s="336"/>
      <c r="AH28" s="336"/>
      <c r="AI28" s="99"/>
      <c r="AJ28" s="336"/>
      <c r="AL28" s="336"/>
      <c r="AM28" s="336"/>
      <c r="AN28" s="65" t="s">
        <v>50</v>
      </c>
      <c r="AO28" s="89" t="b">
        <f>IF(AO9="Yes",TRUE,IF(AND(OR(AO9="Please Select:",AO9="No"),AO26=0,AO27=1),TRUE,FALSE))</f>
        <v>1</v>
      </c>
      <c r="AP28" s="336"/>
      <c r="AS28" s="106">
        <f t="shared" si="0"/>
        <v>0</v>
      </c>
      <c r="AT28" s="106" t="str">
        <f>IF(AS28=0,"",SUM($AS$11:$AS28))</f>
        <v/>
      </c>
      <c r="AU28" t="str">
        <f t="shared" si="7"/>
        <v/>
      </c>
      <c r="AV28" t="str">
        <f>IF(AND($AV$16=TRUE,E22=TRUE),"Qualifications","")</f>
        <v/>
      </c>
      <c r="AW28" s="97">
        <v>2</v>
      </c>
      <c r="AX28" t="s">
        <v>129</v>
      </c>
      <c r="AY28" t="s">
        <v>120</v>
      </c>
      <c r="AZ28" t="s">
        <v>132</v>
      </c>
      <c r="BB28" t="s">
        <v>136</v>
      </c>
      <c r="BC28" t="s">
        <v>675</v>
      </c>
      <c r="BD28" t="s">
        <v>846</v>
      </c>
      <c r="BE28" s="224" t="s">
        <v>536</v>
      </c>
      <c r="BG28" t="str">
        <f t="shared" si="6"/>
        <v>Please complete W.2.e</v>
      </c>
      <c r="BH28" t="str">
        <f t="shared" si="2"/>
        <v/>
      </c>
      <c r="BI28" t="str">
        <f t="shared" si="5"/>
        <v>Please complete W.2.f</v>
      </c>
      <c r="BJ28" t="str">
        <f t="shared" si="4"/>
        <v/>
      </c>
    </row>
    <row r="29" spans="2:62">
      <c r="B29" s="336"/>
      <c r="C29" s="336"/>
      <c r="D29" s="336"/>
      <c r="E29" s="99"/>
      <c r="F29" s="336"/>
      <c r="H29" s="336"/>
      <c r="I29" s="336"/>
      <c r="J29" s="336"/>
      <c r="K29" s="99"/>
      <c r="L29" s="336"/>
      <c r="N29" s="336"/>
      <c r="O29" s="336"/>
      <c r="P29" s="336"/>
      <c r="Q29" s="99"/>
      <c r="R29" s="336"/>
      <c r="T29" s="336"/>
      <c r="U29" s="336"/>
      <c r="V29" s="336"/>
      <c r="W29" s="99"/>
      <c r="X29" s="336"/>
      <c r="Z29" s="336"/>
      <c r="AA29" s="336"/>
      <c r="AB29" s="336"/>
      <c r="AC29" s="99"/>
      <c r="AD29" s="336"/>
      <c r="AF29" s="336"/>
      <c r="AG29" s="336"/>
      <c r="AH29" s="336"/>
      <c r="AI29" s="99"/>
      <c r="AJ29" s="336"/>
      <c r="AL29" s="336"/>
      <c r="AM29" s="336"/>
      <c r="AN29" s="336"/>
      <c r="AO29" s="99"/>
      <c r="AP29" s="336"/>
      <c r="AS29" s="106">
        <f t="shared" si="0"/>
        <v>0</v>
      </c>
      <c r="AT29" s="106" t="str">
        <f>IF(AS29=0,"",SUM($AS$11:$AS29))</f>
        <v/>
      </c>
      <c r="AU29" t="str">
        <f t="shared" si="7"/>
        <v/>
      </c>
      <c r="AV29" t="str">
        <f>IF(AND($AV$16=TRUE,E23=TRUE),"Right to Work Documentation","")</f>
        <v/>
      </c>
      <c r="AW29" s="97">
        <v>2</v>
      </c>
      <c r="AX29" t="s">
        <v>129</v>
      </c>
      <c r="AY29" t="s">
        <v>120</v>
      </c>
      <c r="AZ29" t="s">
        <v>132</v>
      </c>
      <c r="BB29" t="s">
        <v>136</v>
      </c>
      <c r="BC29" t="s">
        <v>675</v>
      </c>
      <c r="BD29" t="s">
        <v>865</v>
      </c>
      <c r="BE29" s="224" t="s">
        <v>536</v>
      </c>
      <c r="BG29" t="str">
        <f t="shared" si="6"/>
        <v>Please complete W.2.e</v>
      </c>
      <c r="BH29" t="str">
        <f t="shared" si="2"/>
        <v/>
      </c>
      <c r="BI29" t="str">
        <f t="shared" si="5"/>
        <v>Please complete W.2.f</v>
      </c>
      <c r="BJ29" t="str">
        <f t="shared" si="4"/>
        <v/>
      </c>
    </row>
    <row r="30" spans="2:62">
      <c r="B30" s="336" t="s">
        <v>95</v>
      </c>
      <c r="C30" s="336"/>
      <c r="D30" s="336"/>
      <c r="E30" s="99"/>
      <c r="F30" s="336"/>
      <c r="H30" s="336" t="s">
        <v>95</v>
      </c>
      <c r="I30" s="336"/>
      <c r="J30" s="336"/>
      <c r="K30" s="99"/>
      <c r="L30" s="336"/>
      <c r="N30" s="336" t="s">
        <v>95</v>
      </c>
      <c r="O30" s="336"/>
      <c r="P30" s="336"/>
      <c r="Q30" s="99"/>
      <c r="R30" s="336"/>
      <c r="T30" s="336" t="s">
        <v>95</v>
      </c>
      <c r="U30" s="336"/>
      <c r="V30" s="336"/>
      <c r="W30" s="99"/>
      <c r="X30" s="336"/>
      <c r="Z30" s="336" t="s">
        <v>95</v>
      </c>
      <c r="AA30" s="336"/>
      <c r="AB30" s="336"/>
      <c r="AC30" s="99"/>
      <c r="AD30" s="336"/>
      <c r="AF30" s="336" t="s">
        <v>95</v>
      </c>
      <c r="AG30" s="336"/>
      <c r="AH30" s="336"/>
      <c r="AI30" s="99"/>
      <c r="AJ30" s="336"/>
      <c r="AL30" s="336" t="s">
        <v>95</v>
      </c>
      <c r="AM30" s="336"/>
      <c r="AN30" s="336"/>
      <c r="AO30" s="99"/>
      <c r="AP30" s="336"/>
      <c r="AS30" s="106">
        <f>IF(AU30&lt;&gt;"",1,0)</f>
        <v>0</v>
      </c>
      <c r="AT30" s="106" t="str">
        <f>IF(AS30=0,"",SUM($AS$11:$AS30))</f>
        <v/>
      </c>
      <c r="AU30" t="str">
        <f>AU17</f>
        <v/>
      </c>
      <c r="AV30" t="s">
        <v>326</v>
      </c>
      <c r="AW30" s="97">
        <f>AW17</f>
        <v>2</v>
      </c>
      <c r="AX30" t="str">
        <f>AX17</f>
        <v>Human Resources</v>
      </c>
      <c r="AY30" t="s">
        <v>327</v>
      </c>
      <c r="AZ30" t="s">
        <v>317</v>
      </c>
      <c r="BB30" t="s">
        <v>136</v>
      </c>
      <c r="BC30" t="s">
        <v>676</v>
      </c>
      <c r="BD30" t="s">
        <v>863</v>
      </c>
      <c r="BE30" s="224" t="s">
        <v>536</v>
      </c>
      <c r="BG30" t="str">
        <f>DAWorkings!$F$51</f>
        <v>Please complete W.2.b</v>
      </c>
      <c r="BH30" t="str">
        <f t="shared" si="2"/>
        <v/>
      </c>
      <c r="BI30" t="str">
        <f t="shared" si="5"/>
        <v>Please complete W.2.f</v>
      </c>
      <c r="BJ30" t="str">
        <f t="shared" si="4"/>
        <v/>
      </c>
    </row>
    <row r="31" spans="2:62">
      <c r="B31" s="336"/>
      <c r="C31" s="336"/>
      <c r="D31" s="65" t="s">
        <v>96</v>
      </c>
      <c r="E31" s="99" t="s">
        <v>100</v>
      </c>
      <c r="F31" s="337" t="str">
        <f>IF(E31=TRUE,B11,"")</f>
        <v/>
      </c>
      <c r="H31" s="336"/>
      <c r="I31" s="336"/>
      <c r="J31" s="65" t="s">
        <v>96</v>
      </c>
      <c r="K31" s="99" t="s">
        <v>100</v>
      </c>
      <c r="L31" s="337" t="str">
        <f>IF(K31=TRUE,H11,"")</f>
        <v/>
      </c>
      <c r="N31" s="336"/>
      <c r="O31" s="336"/>
      <c r="P31" s="65" t="s">
        <v>96</v>
      </c>
      <c r="Q31" s="99" t="s">
        <v>100</v>
      </c>
      <c r="R31" s="337" t="str">
        <f>IF(Q31=TRUE,N11,"")</f>
        <v/>
      </c>
      <c r="T31" s="336"/>
      <c r="U31" s="336"/>
      <c r="V31" s="65" t="s">
        <v>96</v>
      </c>
      <c r="W31" s="89" t="b">
        <f>IF(W11=TRUE,TRUE,FALSE)</f>
        <v>0</v>
      </c>
      <c r="X31" s="337" t="str">
        <f>IF(W31=TRUE,T11,"")</f>
        <v/>
      </c>
      <c r="Z31" s="336"/>
      <c r="AA31" s="336"/>
      <c r="AB31" s="65" t="s">
        <v>96</v>
      </c>
      <c r="AC31" s="100" t="s">
        <v>100</v>
      </c>
      <c r="AD31" s="337" t="str">
        <f>IF(AC31=TRUE,Z11,"")</f>
        <v/>
      </c>
      <c r="AF31" s="336"/>
      <c r="AG31" s="336"/>
      <c r="AH31" s="65" t="s">
        <v>96</v>
      </c>
      <c r="AI31" s="100" t="s">
        <v>100</v>
      </c>
      <c r="AJ31" s="337" t="str">
        <f>IF(AI31=TRUE,AF11,"")</f>
        <v/>
      </c>
      <c r="AL31" s="336"/>
      <c r="AM31" s="336"/>
      <c r="AN31" s="65" t="s">
        <v>96</v>
      </c>
      <c r="AO31" s="89" t="b">
        <f>IF(AO12=TRUE,TRUE,FALSE)</f>
        <v>0</v>
      </c>
      <c r="AP31" s="337" t="str">
        <f>IF(AO31=TRUE,AL11,"")</f>
        <v/>
      </c>
      <c r="AQ31" s="339"/>
      <c r="AR31" s="339"/>
      <c r="AS31" s="106">
        <f t="shared" si="0"/>
        <v>0</v>
      </c>
      <c r="AT31" s="106" t="str">
        <f>IF(AS31=0,"",SUM($AS$11:$AS31))</f>
        <v/>
      </c>
      <c r="AU31" t="str">
        <f>AU18</f>
        <v/>
      </c>
      <c r="AV31" t="s">
        <v>321</v>
      </c>
      <c r="AW31" s="97">
        <f>AW18</f>
        <v>2</v>
      </c>
      <c r="AX31" t="str">
        <f>AX18</f>
        <v>Human Resources</v>
      </c>
      <c r="AY31" t="s">
        <v>327</v>
      </c>
      <c r="AZ31" t="s">
        <v>317</v>
      </c>
      <c r="BB31" t="s">
        <v>136</v>
      </c>
      <c r="BC31" t="s">
        <v>676</v>
      </c>
      <c r="BD31" t="s">
        <v>863</v>
      </c>
      <c r="BE31" s="224" t="s">
        <v>536</v>
      </c>
      <c r="BG31" t="str">
        <f>DAWorkings!$F$51</f>
        <v>Please complete W.2.b</v>
      </c>
      <c r="BH31" t="str">
        <f t="shared" si="2"/>
        <v/>
      </c>
      <c r="BI31" t="str">
        <f t="shared" si="5"/>
        <v>Please complete W.2.f</v>
      </c>
      <c r="BJ31" t="str">
        <f t="shared" si="4"/>
        <v/>
      </c>
    </row>
    <row r="32" spans="2:62">
      <c r="B32" s="336"/>
      <c r="C32" s="336"/>
      <c r="D32" s="65" t="s">
        <v>94</v>
      </c>
      <c r="E32" s="99" t="s">
        <v>100</v>
      </c>
      <c r="F32" s="337" t="str">
        <f>IF(E32=TRUE,B12,"")</f>
        <v/>
      </c>
      <c r="H32" s="336"/>
      <c r="I32" s="336"/>
      <c r="J32" s="65" t="s">
        <v>94</v>
      </c>
      <c r="K32" s="99" t="s">
        <v>100</v>
      </c>
      <c r="L32" s="337" t="str">
        <f>IF(K32=TRUE,H12,"")</f>
        <v/>
      </c>
      <c r="N32" s="336"/>
      <c r="O32" s="336"/>
      <c r="P32" s="65" t="s">
        <v>94</v>
      </c>
      <c r="Q32" s="99" t="s">
        <v>100</v>
      </c>
      <c r="R32" s="337" t="str">
        <f>IF(Q32=TRUE,N12,"")</f>
        <v/>
      </c>
      <c r="T32" s="336"/>
      <c r="U32" s="336"/>
      <c r="V32" s="65" t="s">
        <v>94</v>
      </c>
      <c r="W32" s="89" t="b">
        <f>IF(W12="Yes",TRUE,FALSE)</f>
        <v>0</v>
      </c>
      <c r="X32" s="337" t="str">
        <f>IF(W32=TRUE,T12,"")</f>
        <v/>
      </c>
      <c r="Z32" s="336"/>
      <c r="AA32" s="336"/>
      <c r="AB32" s="65" t="s">
        <v>94</v>
      </c>
      <c r="AC32" s="100" t="s">
        <v>100</v>
      </c>
      <c r="AD32" s="337" t="str">
        <f>IF(AC32=TRUE,Z12,"")</f>
        <v/>
      </c>
      <c r="AF32" s="336"/>
      <c r="AG32" s="336"/>
      <c r="AH32" s="65" t="s">
        <v>94</v>
      </c>
      <c r="AI32" s="100" t="s">
        <v>100</v>
      </c>
      <c r="AJ32" s="337" t="str">
        <f>IF(AI32=TRUE,AF12,"")</f>
        <v/>
      </c>
      <c r="AL32" s="336"/>
      <c r="AM32" s="336"/>
      <c r="AN32" s="65" t="s">
        <v>94</v>
      </c>
      <c r="AO32" s="100" t="s">
        <v>100</v>
      </c>
      <c r="AP32" s="337" t="str">
        <f>IF(AO32=TRUE,AL12,"")</f>
        <v/>
      </c>
      <c r="AQ32" s="339"/>
      <c r="AR32" s="339"/>
      <c r="AS32" s="106">
        <f t="shared" si="0"/>
        <v>0</v>
      </c>
      <c r="AT32" s="106" t="str">
        <f>IF(AS32=0,"",SUM($AS$11:$AS32))</f>
        <v/>
      </c>
      <c r="AU32" t="str">
        <f>AU23</f>
        <v/>
      </c>
      <c r="AV32" t="s">
        <v>322</v>
      </c>
      <c r="AW32" s="97">
        <v>2</v>
      </c>
      <c r="AX32" t="str">
        <f>AX19</f>
        <v>Human Resources</v>
      </c>
      <c r="AY32" t="s">
        <v>327</v>
      </c>
      <c r="AZ32" t="s">
        <v>317</v>
      </c>
      <c r="BA32" s="104" t="s">
        <v>135</v>
      </c>
      <c r="BB32" t="s">
        <v>136</v>
      </c>
      <c r="BC32" t="s">
        <v>676</v>
      </c>
      <c r="BD32" t="s">
        <v>863</v>
      </c>
      <c r="BE32" s="224" t="s">
        <v>536</v>
      </c>
      <c r="BG32" t="str">
        <f>DAWorkings!$F$51</f>
        <v>Please complete W.2.b</v>
      </c>
      <c r="BH32" t="str">
        <f t="shared" si="2"/>
        <v/>
      </c>
      <c r="BI32" t="str">
        <f t="shared" si="5"/>
        <v>Please complete W.2.f</v>
      </c>
      <c r="BJ32" t="str">
        <f t="shared" si="4"/>
        <v/>
      </c>
    </row>
    <row r="33" spans="2:62">
      <c r="B33" s="336"/>
      <c r="C33" s="336"/>
      <c r="D33" s="65" t="s">
        <v>99</v>
      </c>
      <c r="E33" s="89" t="b">
        <f>IF(OR(E19=TRUE,E20=TRUE,E21=TRUE,E24=AV5),TRUE,FALSE)</f>
        <v>0</v>
      </c>
      <c r="F33" s="337" t="str">
        <f>IF(AND(E33=TRUE,E19=TRUE),B19,"")&amp;IF(AND(E33=TRUE,E19=TRUE,E21=TRUE),", ","")&amp;IF(AND(E33=TRUE,E21=TRUE),B21,"")&amp;IF(AND(E33=TRUE,E20=TRUE,OR(E19=TRUE,E20=TRUE,E21=TRUE)),", ","")&amp;IF(AND(E33=TRUE,E20=TRUE),B20,"")&amp;IF(AND(E33=TRUE,F24="SC",OR(E19=TRUE,E21=TRUE)),", ","")&amp;IF(AND(E33=TRUE,F24="SC"),B25,"")</f>
        <v/>
      </c>
      <c r="H33" s="336"/>
      <c r="I33" s="336"/>
      <c r="J33" s="65" t="s">
        <v>99</v>
      </c>
      <c r="K33" s="89" t="b">
        <f>IF(OR(K15=TRUE,K13=TRUE,K12=TRUE,K18=AV5),TRUE,FALSE)</f>
        <v>0</v>
      </c>
      <c r="L33" s="337" t="str">
        <f>IF(AND(K33=TRUE,K12=TRUE),H12,"")&amp;IF(AND(K33=TRUE,K15=TRUE,K13=TRUE),", ","")&amp;IF(AND(K33=TRUE,K13=TRUE),H13,"")&amp;IF(AND(K33=TRUE,K15=TRUE,K12=TRUE),", ","")&amp;IF(AND(K33=TRUE,K15=TRUE),H15,"")&amp;IF(AND(K33=TRUE,L18="SC",OR(K15=TRUE,K12=TRUE)),", ","")&amp;IF(AND(K33=TRUE,L18="SC"),H19,"")</f>
        <v/>
      </c>
      <c r="N33" s="336"/>
      <c r="O33" s="336"/>
      <c r="P33" s="65" t="s">
        <v>99</v>
      </c>
      <c r="Q33" s="89" t="b">
        <f>IF(OR(Q16=TRUE,Q12=TRUE,Q17=AV5),TRUE,FALSE)</f>
        <v>0</v>
      </c>
      <c r="R33" s="337" t="str">
        <f>IF(AND(Q33=TRUE,Q12=TRUE),N12,"")&amp;IF(AND(Q33=TRUE,Q16=TRUE,Q12=TRUE),", ","")&amp;IF(AND(Q33=TRUE,Q16=TRUE),N16,"")&amp;IF(AND(Q33=TRUE,R17="SC",OR(Q16=TRUE,Q12=TRUE)),", ","")&amp;IF(AND(Q33=TRUE,R17="SC"),N18,"")</f>
        <v/>
      </c>
      <c r="T33" s="336"/>
      <c r="U33" s="336"/>
      <c r="V33" s="65" t="s">
        <v>99</v>
      </c>
      <c r="W33" s="89" t="b">
        <f>IF(W18=AV5,TRUE,FALSE)</f>
        <v>0</v>
      </c>
      <c r="X33" s="337" t="b">
        <f>IF(W33=TRUE,T19,FALSE)</f>
        <v>0</v>
      </c>
      <c r="Z33" s="336"/>
      <c r="AA33" s="336"/>
      <c r="AB33" s="65" t="s">
        <v>99</v>
      </c>
      <c r="AC33" s="89" t="b">
        <f>IF(OR(AC13=TRUE,AC17=AV5),TRUE,FALSE)</f>
        <v>0</v>
      </c>
      <c r="AD33" s="337" t="str">
        <f>IF(AND(AC33=TRUE,AC13=TRUE),Z13,"")&amp;IF(AND(AC33=TRUE,AC13=TRUE,AD17="SC"),", ","")&amp;IF(AD17="SC",Z18,"")</f>
        <v/>
      </c>
      <c r="AF33" s="336"/>
      <c r="AG33" s="336"/>
      <c r="AH33" s="65" t="s">
        <v>99</v>
      </c>
      <c r="AI33" s="89" t="b">
        <f>IF(OR(AI10="Yes",AI11=AV5),TRUE,FALSE)</f>
        <v>0</v>
      </c>
      <c r="AJ33" s="337" t="str">
        <f>IF(AND(AI33=TRUE,AI10="yes"),AF10,"")&amp;IF(AND(AI33=TRUE,AI10="yes",AJ11="SC"),", ","")&amp;IF(AJ11="SC",AF11,"")</f>
        <v/>
      </c>
      <c r="AL33" s="336"/>
      <c r="AM33" s="336"/>
      <c r="AN33" s="65" t="s">
        <v>99</v>
      </c>
      <c r="AO33" s="89" t="b">
        <f>IF(AO13=AV5,TRUE,FALSE)</f>
        <v>0</v>
      </c>
      <c r="AP33" s="337" t="str">
        <f>IF(AO33=TRUE,AL15,"")</f>
        <v/>
      </c>
      <c r="AQ33" s="339"/>
      <c r="AR33" s="339"/>
      <c r="AS33" s="106">
        <f t="shared" si="0"/>
        <v>0</v>
      </c>
      <c r="AT33" s="106" t="str">
        <f>IF(AS33=0,"",SUM($AS$11:$AS33))</f>
        <v/>
      </c>
      <c r="AU33" t="str">
        <f>AU25</f>
        <v/>
      </c>
      <c r="AV33" t="s">
        <v>323</v>
      </c>
      <c r="AW33" s="97">
        <v>3</v>
      </c>
      <c r="AX33" t="str">
        <f>AX20</f>
        <v>Human Resources</v>
      </c>
      <c r="AY33" t="s">
        <v>327</v>
      </c>
      <c r="AZ33" t="s">
        <v>317</v>
      </c>
      <c r="BB33" t="s">
        <v>136</v>
      </c>
      <c r="BC33" t="s">
        <v>676</v>
      </c>
      <c r="BD33" t="s">
        <v>863</v>
      </c>
      <c r="BE33" s="224" t="s">
        <v>536</v>
      </c>
      <c r="BF33" s="224" t="s">
        <v>538</v>
      </c>
      <c r="BG33" t="str">
        <f>DAWorkings!$F$51</f>
        <v>Please complete W.2.b</v>
      </c>
      <c r="BH33" t="str">
        <f t="shared" si="2"/>
        <v>Yes(1)</v>
      </c>
      <c r="BI33" t="str">
        <f t="shared" si="5"/>
        <v>Please complete W.2.f</v>
      </c>
      <c r="BJ33" t="str">
        <f t="shared" si="4"/>
        <v/>
      </c>
    </row>
    <row r="34" spans="2:62">
      <c r="B34" s="336"/>
      <c r="C34" s="336"/>
      <c r="D34" s="65" t="s">
        <v>118</v>
      </c>
      <c r="E34" s="89" t="str">
        <f>IF(E9="Please Select:",B9&amp;", ","")&amp;IF(AND(E9="Yes",E13="Please Select:"),", "&amp;B13,"")&amp;IF(AND(E9="Yes",E15="Please Select:"),", "&amp;B15,"")</f>
        <v xml:space="preserve">D.2.a, </v>
      </c>
      <c r="F34" s="336"/>
      <c r="H34" s="336"/>
      <c r="I34" s="336"/>
      <c r="J34" s="65" t="s">
        <v>118</v>
      </c>
      <c r="K34" s="89" t="str">
        <f>IF(K9="Please Select:",H9&amp;", ","")</f>
        <v xml:space="preserve">D.3.a, </v>
      </c>
      <c r="L34" s="336"/>
      <c r="N34" s="336"/>
      <c r="O34" s="336"/>
      <c r="P34" s="65" t="s">
        <v>118</v>
      </c>
      <c r="Q34" s="89" t="str">
        <f>IF(Q9="Please Select:",N9&amp;", ","")</f>
        <v xml:space="preserve">D.4.a, </v>
      </c>
      <c r="R34" s="336"/>
      <c r="T34" s="336"/>
      <c r="U34" s="336"/>
      <c r="V34" s="65" t="s">
        <v>118</v>
      </c>
      <c r="W34" s="89" t="str">
        <f>IF(W9="Please Select:",T9&amp;", ","")&amp;IF(AND(W9="Yes",W12="Please Select:"),T12&amp;", ", "")&amp;IF(AND(W9="Yes",W13="Please Select:"),T13&amp;",", "")</f>
        <v xml:space="preserve">D.5.a, </v>
      </c>
      <c r="X34" s="336"/>
      <c r="Z34" s="336"/>
      <c r="AA34" s="336"/>
      <c r="AB34" s="65" t="s">
        <v>118</v>
      </c>
      <c r="AC34" s="89" t="str">
        <f>IF(AC9="Please Select:",Z9&amp;", ","")&amp;IF(AND(AC9="Yes",AC15="Please Select:"),Z15&amp;", ", "")&amp;IF(AND(AC9="Yes",AC16="Please Select:"),Z16&amp;",", "")</f>
        <v xml:space="preserve">D.6.a, </v>
      </c>
      <c r="AD34" s="336"/>
      <c r="AF34" s="336"/>
      <c r="AG34" s="336"/>
      <c r="AH34" s="336"/>
      <c r="AI34" s="99"/>
      <c r="AJ34" s="336"/>
      <c r="AL34" s="336"/>
      <c r="AM34" s="336"/>
      <c r="AN34" s="65" t="s">
        <v>118</v>
      </c>
      <c r="AO34" s="89" t="str">
        <f>IF(AO9="Please Select:",AL9&amp;", ","")</f>
        <v/>
      </c>
      <c r="AP34" s="336"/>
      <c r="AS34" s="106">
        <f t="shared" si="0"/>
        <v>0</v>
      </c>
      <c r="AT34" s="106" t="str">
        <f>IF(AS34=0,"",SUM($AS$11:$AS34))</f>
        <v/>
      </c>
      <c r="AU34" t="str">
        <f>AU27</f>
        <v/>
      </c>
      <c r="AV34" t="s">
        <v>324</v>
      </c>
      <c r="AW34" s="97">
        <f>AW21</f>
        <v>3</v>
      </c>
      <c r="AX34" t="str">
        <f>AX21</f>
        <v>Human Resources</v>
      </c>
      <c r="AY34" t="s">
        <v>327</v>
      </c>
      <c r="AZ34" t="s">
        <v>317</v>
      </c>
      <c r="BB34" t="s">
        <v>136</v>
      </c>
      <c r="BC34" t="s">
        <v>676</v>
      </c>
      <c r="BD34" t="s">
        <v>863</v>
      </c>
      <c r="BE34" s="224" t="s">
        <v>536</v>
      </c>
      <c r="BF34" s="224" t="s">
        <v>538</v>
      </c>
      <c r="BG34" t="str">
        <f>DAWorkings!$F$51</f>
        <v>Please complete W.2.b</v>
      </c>
      <c r="BH34" t="str">
        <f t="shared" si="2"/>
        <v>Yes(1)</v>
      </c>
      <c r="BI34" t="str">
        <f t="shared" si="5"/>
        <v>Please complete W.2.f</v>
      </c>
      <c r="BJ34" t="str">
        <f t="shared" si="4"/>
        <v/>
      </c>
    </row>
    <row r="35" spans="2:62">
      <c r="C35" s="97" t="s">
        <v>121</v>
      </c>
      <c r="D35" s="339" t="b">
        <f>IF(COUNTIF(E9:AP9,"Please Select:")=0,TRUE,FALSE)</f>
        <v>0</v>
      </c>
      <c r="F35" s="97" t="s">
        <v>117</v>
      </c>
      <c r="G35" s="339" t="str">
        <f>IF(D35=FALSE,"Before continuing to Workflows, please complete the following "&amp;Y35&amp;" "&amp;Z35,"It appears all sections are complete, please continue to Workflows")</f>
        <v>Before continuing to Workflows, please complete the following questions D.2.a, D.3.a, D.4.a, D.5.a and D.6.a</v>
      </c>
      <c r="T35" s="97" t="s">
        <v>105</v>
      </c>
      <c r="U35" t="str">
        <f>IF(E34="","",E34)&amp;IF(K34="","",K34)&amp;IF(Q34="","",Q34)&amp;IF(W34="","",W34)&amp;IF(AC34="","",AC34)&amp;IF(AO34="","",AO34)</f>
        <v xml:space="preserve">D.2.a, D.3.a, D.4.a, D.5.a, D.6.a, </v>
      </c>
      <c r="V35" s="339" t="b">
        <f>IF(RIGHT(U35,2)=", ",TRUE,FALSE)</f>
        <v>1</v>
      </c>
      <c r="W35" s="339" t="str">
        <f>IF(V35=TRUE,(LEFT(U35,LEN(U35)-2)),U35)</f>
        <v>D.2.a, D.3.a, D.4.a, D.5.a, D.6.a</v>
      </c>
      <c r="X35" s="339" t="b">
        <f>IF(LEN(W35)&gt;5,TRUE,FALSE)</f>
        <v>1</v>
      </c>
      <c r="Y35" s="339" t="str">
        <f>IF(X35=TRUE,"questions","question")</f>
        <v>questions</v>
      </c>
      <c r="Z35" s="339" t="str">
        <f>IF(LEFT(RIGHT(W35,7),1)=",",LEFT(W35,LEN(W35)-7)&amp;" and"&amp;RIGHT(W35,6),W35)</f>
        <v>D.2.a, D.3.a, D.4.a, D.5.a and D.6.a</v>
      </c>
      <c r="AS35" s="106">
        <f t="shared" si="0"/>
        <v>0</v>
      </c>
      <c r="AT35" s="106" t="str">
        <f>IF(AS35=0,"",SUM($AS$11:$AS35))</f>
        <v/>
      </c>
      <c r="AU35" t="str">
        <f>AU28</f>
        <v/>
      </c>
      <c r="AV35" t="s">
        <v>325</v>
      </c>
      <c r="AW35" s="97">
        <v>2</v>
      </c>
      <c r="AX35" t="str">
        <f>AX22</f>
        <v>Human Resources</v>
      </c>
      <c r="AY35" t="s">
        <v>327</v>
      </c>
      <c r="AZ35" t="s">
        <v>317</v>
      </c>
      <c r="BB35" t="s">
        <v>136</v>
      </c>
      <c r="BC35" t="s">
        <v>676</v>
      </c>
      <c r="BD35" t="s">
        <v>863</v>
      </c>
      <c r="BE35" s="224" t="s">
        <v>536</v>
      </c>
      <c r="BG35" t="str">
        <f>DAWorkings!$F$51</f>
        <v>Please complete W.2.b</v>
      </c>
      <c r="BH35" t="str">
        <f t="shared" si="2"/>
        <v/>
      </c>
      <c r="BI35" t="str">
        <f t="shared" si="5"/>
        <v>Please complete W.2.f</v>
      </c>
      <c r="BJ35" t="str">
        <f t="shared" si="4"/>
        <v/>
      </c>
    </row>
    <row r="36" spans="2:62">
      <c r="C36" s="97" t="s">
        <v>97</v>
      </c>
      <c r="D36" s="339" t="b">
        <f>IF(W32=TRUE,TRUE,FALSE)</f>
        <v>0</v>
      </c>
      <c r="F36" s="97" t="s">
        <v>98</v>
      </c>
      <c r="G36" s="339" t="str">
        <f>IF(D36=TRUE,"Based on the response from "&amp;X32&amp;" you are processing credit card payments, compliance checks regarding PCI DSS are outside the scope of this document (although many privacy disciplines still apply)","From the information given, no credit or debit cards are processed by the Charity.")</f>
        <v>From the information given, no credit or debit cards are processed by the Charity.</v>
      </c>
      <c r="V36" s="97" t="s">
        <v>106</v>
      </c>
      <c r="W36" t="s">
        <v>107</v>
      </c>
      <c r="X36" t="s">
        <v>108</v>
      </c>
      <c r="Z36" t="s">
        <v>170</v>
      </c>
      <c r="AD36" t="str">
        <f>RIGHT(U35,1)</f>
        <v xml:space="preserve"> </v>
      </c>
      <c r="AS36" s="106">
        <f t="shared" si="0"/>
        <v>0</v>
      </c>
      <c r="AT36" s="106" t="str">
        <f>IF(AS36=0,"",SUM($AS$11:$AS36))</f>
        <v/>
      </c>
      <c r="AU36" t="str">
        <f>IF(AV36="","",B10)</f>
        <v/>
      </c>
      <c r="AV36" t="str">
        <f>IF(AND($AV$16=TRUE,E10=TRUE),"Personnel Contact Details","")</f>
        <v/>
      </c>
      <c r="AW36" s="97">
        <v>2</v>
      </c>
      <c r="AX36" t="s">
        <v>128</v>
      </c>
      <c r="AY36" t="s">
        <v>120</v>
      </c>
      <c r="AZ36" t="s">
        <v>133</v>
      </c>
      <c r="BA36" s="104" t="str">
        <f>D58</f>
        <v>HMRC</v>
      </c>
      <c r="BB36" t="s">
        <v>136</v>
      </c>
      <c r="BC36" t="str">
        <f>IF(BA36="HMRC","Finance Payroll","Finance / Processor")</f>
        <v>Finance Payroll</v>
      </c>
      <c r="BD36" t="s">
        <v>850</v>
      </c>
      <c r="BE36" s="224" t="s">
        <v>535</v>
      </c>
      <c r="BG36" t="str">
        <f t="shared" ref="BG36:BG39" si="8">$F$52</f>
        <v>Please complete W.2.e</v>
      </c>
      <c r="BH36" t="str">
        <f t="shared" si="2"/>
        <v/>
      </c>
      <c r="BI36" t="str">
        <f>$F$53</f>
        <v>Please complete W.2.f</v>
      </c>
      <c r="BJ36" t="str">
        <f t="shared" si="4"/>
        <v/>
      </c>
    </row>
    <row r="37" spans="2:62">
      <c r="C37" s="97" t="s">
        <v>102</v>
      </c>
      <c r="D37" s="339" t="b">
        <f>IF(COUNTIF(E33:AO33,TRUE)&gt;0,TRUE,FALSE)</f>
        <v>0</v>
      </c>
      <c r="F37" s="97" t="s">
        <v>104</v>
      </c>
      <c r="G37" s="339" t="str">
        <f>IF(D37=TRUE,"We also noted from the "&amp;Y37&amp;" given in "&amp;Z37&amp;" you appear to be responsible for Special Category data.","We also noted from the information provided, the Charity does not collect data that could be considered as Special Category.")</f>
        <v>We also noted from the information provided, the Charity does not collect data that could be considered as Special Category.</v>
      </c>
      <c r="T37" s="97" t="s">
        <v>105</v>
      </c>
      <c r="U37" s="339" t="str">
        <f>IF(E33=TRUE,F33,"")&amp;IF(K33=TRUE,", "&amp;L33,"")&amp;IF(Q33=TRUE,", "&amp;R33,"")&amp;IF(W33=TRUE,", "&amp;X33,"")&amp;IF(AC33=TRUE,", "&amp;AD33,"")&amp;IF(AI33=TRUE,", "&amp;AJ33,"")&amp;IF(AO33=TRUE,", "&amp;AP33,"")&amp;IF(D47=TRUE,", "&amp;B47,"")</f>
        <v/>
      </c>
      <c r="V37" s="339" t="b">
        <f>IF(LEFT(U37,2)=", ",TRUE,FALSE)</f>
        <v>0</v>
      </c>
      <c r="W37" s="339" t="str">
        <f>IF(V37=TRUE,(RIGHT(U37,LEN(U37)-2)),U37)</f>
        <v/>
      </c>
      <c r="X37" s="339" t="b">
        <f>IF(LEN(W37)&gt;5,TRUE,FALSE)</f>
        <v>0</v>
      </c>
      <c r="Y37" s="339" t="str">
        <f>IF(X37=TRUE,"responses","response")</f>
        <v>response</v>
      </c>
      <c r="Z37" s="339" t="str">
        <f>IF(LEFT(RIGHT(W37,7),1)=",",LEFT(W37,LEN(W37)-7)&amp;" and"&amp;RIGHT(W37,6),W37)</f>
        <v/>
      </c>
      <c r="AS37" s="106">
        <f t="shared" si="0"/>
        <v>0</v>
      </c>
      <c r="AT37" s="106" t="str">
        <f>IF(AS37=0,"",SUM($AS$11:$AS37))</f>
        <v/>
      </c>
      <c r="AU37" t="str">
        <f>IF(AV37="","",B12)</f>
        <v/>
      </c>
      <c r="AV37" t="str">
        <f>IF(AND($AV$16=TRUE,E12=TRUE),"Bank Details","")</f>
        <v/>
      </c>
      <c r="AW37" s="97">
        <v>2</v>
      </c>
      <c r="AX37" t="s">
        <v>128</v>
      </c>
      <c r="AY37" t="s">
        <v>120</v>
      </c>
      <c r="AZ37" t="s">
        <v>133</v>
      </c>
      <c r="BA37" s="104" t="str">
        <f>D58</f>
        <v>HMRC</v>
      </c>
      <c r="BB37" t="s">
        <v>136</v>
      </c>
      <c r="BC37" t="str">
        <f>IF(BA37="HMRC","Finance Payroll","Finance / Processor")</f>
        <v>Finance Payroll</v>
      </c>
      <c r="BD37" t="s">
        <v>850</v>
      </c>
      <c r="BE37" s="224" t="s">
        <v>535</v>
      </c>
      <c r="BG37" t="str">
        <f t="shared" si="8"/>
        <v>Please complete W.2.e</v>
      </c>
      <c r="BH37" t="str">
        <f t="shared" si="2"/>
        <v/>
      </c>
      <c r="BI37" t="str">
        <f t="shared" ref="BI37:BI39" si="9">$F$53</f>
        <v>Please complete W.2.f</v>
      </c>
      <c r="BJ37" t="str">
        <f t="shared" si="4"/>
        <v/>
      </c>
    </row>
    <row r="38" spans="2:62">
      <c r="C38" s="97" t="s">
        <v>101</v>
      </c>
      <c r="D38" s="339" t="b">
        <f>IF(OR(W31=TRUE,AO31=TRUE),TRUE,FALSE)</f>
        <v>0</v>
      </c>
      <c r="F38" s="97" t="s">
        <v>109</v>
      </c>
      <c r="G38" s="339" t="str">
        <f>IF(AO9="Yes",IF(D38=TRUE,("Furthermore, from the "&amp;Y38&amp;" provided in "&amp;Z38&amp;" the charity is collecting explicit consent for the purpose of marketing."),"Furthermore, it also appears explicit consent to deliver marketing materials has not been collected, whilst legitamate intererst may still apply, we recommend gathering explicit consent as being good practice."),"")</f>
        <v/>
      </c>
      <c r="T38" s="97" t="s">
        <v>105</v>
      </c>
      <c r="U38" t="str">
        <f>IF(W31=TRUE,X31,"")&amp;IF(AO31=TRUE,", "&amp;AP31,"")</f>
        <v/>
      </c>
      <c r="V38" s="339" t="b">
        <f>IF(LEFT(U38,2)=", ",TRUE,FALSE)</f>
        <v>0</v>
      </c>
      <c r="W38" s="339" t="str">
        <f>IF(V38=TRUE,(RIGHT(U38,LEN(U38)-2)),U38)</f>
        <v/>
      </c>
      <c r="X38" s="339" t="b">
        <f>IF(LEN(W38)&gt;5,TRUE,FALSE)</f>
        <v>0</v>
      </c>
      <c r="Y38" s="339" t="str">
        <f>IF(X38=TRUE,"responses","response")</f>
        <v>response</v>
      </c>
      <c r="Z38" s="339" t="str">
        <f>IF(LEFT(RIGHT(W38,7),1)=",",LEFT(W38,LEN(W38)-7)&amp;" and"&amp;RIGHT(W38,6),W38)</f>
        <v/>
      </c>
      <c r="AS38" s="106">
        <f t="shared" si="0"/>
        <v>0</v>
      </c>
      <c r="AT38" s="106" t="str">
        <f>IF(AS38=0,"",SUM($AS$11:$AS38))</f>
        <v/>
      </c>
      <c r="AU38" t="str">
        <f>IF(AV38="","",B15)</f>
        <v/>
      </c>
      <c r="AV38" t="str">
        <f>IF(AND($AV$16=TRUE,E15&lt;&gt;"Please Select:"),"Pension Details","")</f>
        <v/>
      </c>
      <c r="AW38" s="97">
        <v>2</v>
      </c>
      <c r="AX38" t="s">
        <v>128</v>
      </c>
      <c r="AY38" t="s">
        <v>120</v>
      </c>
      <c r="AZ38" t="s">
        <v>133</v>
      </c>
      <c r="BA38" s="104" t="str">
        <f>D59</f>
        <v>HMRC</v>
      </c>
      <c r="BB38" t="s">
        <v>137</v>
      </c>
      <c r="BC38" t="str">
        <f>IF(BA38="HMRC","Finance Payroll","Finance / Processor")</f>
        <v>Finance Payroll</v>
      </c>
      <c r="BD38" t="s">
        <v>850</v>
      </c>
      <c r="BE38" s="224" t="s">
        <v>535</v>
      </c>
      <c r="BG38" t="str">
        <f t="shared" si="8"/>
        <v>Please complete W.2.e</v>
      </c>
      <c r="BH38" t="str">
        <f t="shared" si="2"/>
        <v/>
      </c>
      <c r="BI38" t="str">
        <f t="shared" si="9"/>
        <v>Please complete W.2.f</v>
      </c>
      <c r="BJ38" t="str">
        <f t="shared" si="4"/>
        <v/>
      </c>
    </row>
    <row r="39" spans="2:62">
      <c r="AS39" s="106">
        <f t="shared" si="0"/>
        <v>0</v>
      </c>
      <c r="AT39" s="106" t="str">
        <f>IF(AS39=0,"",SUM($AS$11:$AS39))</f>
        <v/>
      </c>
      <c r="AU39" t="str">
        <f>IF(AV39="","",B12)</f>
        <v/>
      </c>
      <c r="AV39" t="str">
        <f>IF(AND($AV$16=TRUE,E12=TRUE),"Tax Details","")</f>
        <v/>
      </c>
      <c r="AW39" s="97">
        <v>2</v>
      </c>
      <c r="AX39" t="s">
        <v>128</v>
      </c>
      <c r="AY39" t="s">
        <v>120</v>
      </c>
      <c r="AZ39" t="s">
        <v>133</v>
      </c>
      <c r="BA39" s="104" t="str">
        <f>D58</f>
        <v>HMRC</v>
      </c>
      <c r="BB39" t="s">
        <v>137</v>
      </c>
      <c r="BC39" t="str">
        <f>IF(BA39="HMRC","Finance Payroll","Finance / Processor")</f>
        <v>Finance Payroll</v>
      </c>
      <c r="BD39" t="s">
        <v>850</v>
      </c>
      <c r="BE39" s="224" t="s">
        <v>535</v>
      </c>
      <c r="BG39" t="str">
        <f t="shared" si="8"/>
        <v>Please complete W.2.e</v>
      </c>
      <c r="BH39" t="str">
        <f t="shared" si="2"/>
        <v/>
      </c>
      <c r="BI39" t="str">
        <f t="shared" si="9"/>
        <v>Please complete W.2.f</v>
      </c>
      <c r="BJ39" t="str">
        <f t="shared" si="4"/>
        <v/>
      </c>
    </row>
    <row r="40" spans="2:62">
      <c r="B40" s="340"/>
      <c r="C40" s="340"/>
      <c r="D40" s="340"/>
      <c r="E40" s="340"/>
      <c r="F40" s="102" t="s">
        <v>110</v>
      </c>
      <c r="G40" s="341" t="str">
        <f>G36&amp;" "&amp;G37&amp;" "&amp;G38</f>
        <v xml:space="preserve">From the information given, no credit or debit cards are processed by the Charity. We also noted from the information provided, the Charity does not collect data that could be considered as Special Category. </v>
      </c>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S40" s="106">
        <f t="shared" si="0"/>
        <v>0</v>
      </c>
      <c r="AT40" s="106" t="str">
        <f>IF(AS40=0,"",SUM($AS$11:$AS40))</f>
        <v/>
      </c>
      <c r="AU40" t="str">
        <f>IF(AV40="","",B25)</f>
        <v/>
      </c>
      <c r="AV40" t="str">
        <f>IF(AND($AV$16=TRUE,E24&lt;&gt;"Please Select:"),E25,"")</f>
        <v/>
      </c>
      <c r="AW40" s="97" t="str">
        <f>_xlfn.IFNA(VLOOKUP(E24,$AV$3:$AW$6,2,FALSE),"")</f>
        <v/>
      </c>
      <c r="AX40" t="s">
        <v>174</v>
      </c>
      <c r="AY40" t="s">
        <v>120</v>
      </c>
      <c r="AZ40" t="s">
        <v>174</v>
      </c>
      <c r="BA40" t="s">
        <v>174</v>
      </c>
      <c r="BB40" t="s">
        <v>174</v>
      </c>
      <c r="BE40" t="s">
        <v>174</v>
      </c>
      <c r="BF40" t="str">
        <f>IF(E24=$AV$5,"Please Complete","")</f>
        <v/>
      </c>
      <c r="BG40" t="s">
        <v>174</v>
      </c>
      <c r="BH40" t="str">
        <f t="shared" si="2"/>
        <v/>
      </c>
      <c r="BI40" t="s">
        <v>174</v>
      </c>
      <c r="BJ40" t="str">
        <f t="shared" si="4"/>
        <v/>
      </c>
    </row>
    <row r="41" spans="2:62">
      <c r="AT41" s="106" t="str">
        <f>IF(AS41=0,"",SUM($AS$11:$AS41))</f>
        <v/>
      </c>
      <c r="AU41" s="110" t="s">
        <v>145</v>
      </c>
      <c r="AV41" s="105" t="b">
        <f>IF(K9="Yes", TRUE,FALSE)</f>
        <v>0</v>
      </c>
      <c r="BH41" t="str">
        <f t="shared" si="2"/>
        <v/>
      </c>
      <c r="BJ41" t="str">
        <f t="shared" si="4"/>
        <v/>
      </c>
    </row>
    <row r="42" spans="2:62">
      <c r="AS42" s="106">
        <f t="shared" si="0"/>
        <v>0</v>
      </c>
      <c r="AT42" s="106" t="str">
        <f>IF(AS42=0,"",SUM($AS$11:$AS42))</f>
        <v/>
      </c>
      <c r="AU42" t="str">
        <f>IF(AV42="","",H10)</f>
        <v/>
      </c>
      <c r="AV42" t="str">
        <f>IF(AND($AV$41=TRUE,K10=TRUE),"Volunteer Contact Details","")</f>
        <v/>
      </c>
      <c r="AW42" s="97">
        <v>2</v>
      </c>
      <c r="AX42" t="s">
        <v>144</v>
      </c>
      <c r="AY42" t="s">
        <v>145</v>
      </c>
      <c r="AZ42" t="s">
        <v>146</v>
      </c>
      <c r="BB42" t="s">
        <v>136</v>
      </c>
      <c r="BC42" t="s">
        <v>677</v>
      </c>
      <c r="BD42" t="s">
        <v>868</v>
      </c>
      <c r="BE42" s="224" t="s">
        <v>536</v>
      </c>
      <c r="BG42" t="str">
        <f>L52</f>
        <v>Please complete W.3.c</v>
      </c>
      <c r="BH42" t="str">
        <f t="shared" si="2"/>
        <v/>
      </c>
      <c r="BI42" t="str">
        <f>$L$53</f>
        <v>Access Control List</v>
      </c>
      <c r="BJ42" t="str">
        <f t="shared" si="4"/>
        <v/>
      </c>
    </row>
    <row r="43" spans="2:62">
      <c r="B43" s="342" t="s">
        <v>114</v>
      </c>
      <c r="C43" s="340"/>
      <c r="D43" s="340"/>
      <c r="E43" s="340"/>
      <c r="F43" s="340"/>
      <c r="G43" t="s">
        <v>172</v>
      </c>
      <c r="H43" s="342" t="s">
        <v>275</v>
      </c>
      <c r="I43" s="340"/>
      <c r="J43" s="340"/>
      <c r="K43" s="340"/>
      <c r="L43" s="340"/>
      <c r="M43" t="s">
        <v>468</v>
      </c>
      <c r="N43" s="342" t="s">
        <v>276</v>
      </c>
      <c r="O43" s="340"/>
      <c r="P43" s="340"/>
      <c r="Q43" s="340"/>
      <c r="R43" s="340"/>
      <c r="T43" s="342" t="s">
        <v>277</v>
      </c>
      <c r="U43" s="340"/>
      <c r="V43" s="340"/>
      <c r="W43" s="340"/>
      <c r="X43" s="340"/>
      <c r="Z43" s="342" t="s">
        <v>287</v>
      </c>
      <c r="AA43" s="340"/>
      <c r="AB43" s="340"/>
      <c r="AC43" s="340"/>
      <c r="AD43" s="340"/>
      <c r="AF43" s="342" t="s">
        <v>302</v>
      </c>
      <c r="AG43" s="340"/>
      <c r="AH43" s="340"/>
      <c r="AI43" s="340"/>
      <c r="AJ43" s="340"/>
      <c r="AL43" s="342" t="s">
        <v>301</v>
      </c>
      <c r="AM43" s="340"/>
      <c r="AN43" s="340"/>
      <c r="AO43" s="340"/>
      <c r="AP43" s="340"/>
      <c r="AS43" s="106">
        <f t="shared" si="0"/>
        <v>0</v>
      </c>
      <c r="AT43" s="106" t="str">
        <f>IF(AS43=0,"",SUM($AS$11:$AS43))</f>
        <v/>
      </c>
      <c r="AU43" t="str">
        <f>IF(AV43="","",H11)</f>
        <v/>
      </c>
      <c r="AV43" t="str">
        <f>IF(AND($AV$41=TRUE,K11=TRUE),"Emergency Contact Details","")</f>
        <v/>
      </c>
      <c r="AW43" s="97">
        <v>2</v>
      </c>
      <c r="AX43" t="s">
        <v>129</v>
      </c>
      <c r="AY43" t="s">
        <v>145</v>
      </c>
      <c r="AZ43" t="s">
        <v>132</v>
      </c>
      <c r="BB43" t="s">
        <v>136</v>
      </c>
      <c r="BC43" t="s">
        <v>677</v>
      </c>
      <c r="BD43" t="s">
        <v>868</v>
      </c>
      <c r="BE43" s="224" t="s">
        <v>536</v>
      </c>
      <c r="BG43" t="str">
        <f>$L$51</f>
        <v>Please complete W.3.b</v>
      </c>
      <c r="BH43" t="str">
        <f t="shared" si="2"/>
        <v/>
      </c>
      <c r="BI43" t="str">
        <f t="shared" ref="BI43:BI48" si="10">$L$53</f>
        <v>Access Control List</v>
      </c>
      <c r="BJ43" t="str">
        <f t="shared" si="4"/>
        <v/>
      </c>
    </row>
    <row r="44" spans="2:62">
      <c r="B44" s="342"/>
      <c r="C44" s="102" t="s">
        <v>116</v>
      </c>
      <c r="D44" s="134" t="b">
        <f>IF(E9="Yes",FALSE,TRUE)</f>
        <v>1</v>
      </c>
      <c r="E44" s="340"/>
      <c r="F44" s="340"/>
      <c r="G44" t="s">
        <v>172</v>
      </c>
      <c r="H44" s="340"/>
      <c r="I44" s="102" t="s">
        <v>262</v>
      </c>
      <c r="J44" s="134" t="b">
        <f>IF(K9="Yes",FALSE,TRUE)</f>
        <v>1</v>
      </c>
      <c r="K44" s="340"/>
      <c r="L44" s="340"/>
      <c r="M44" t="s">
        <v>468</v>
      </c>
      <c r="N44" s="340"/>
      <c r="O44" s="102" t="s">
        <v>288</v>
      </c>
      <c r="P44" s="134" t="b">
        <f>IF(Q9="Yes",FALSE,TRUE)</f>
        <v>1</v>
      </c>
      <c r="Q44" s="340"/>
      <c r="R44" s="340"/>
      <c r="T44" s="340"/>
      <c r="U44" s="102" t="s">
        <v>289</v>
      </c>
      <c r="V44" s="134" t="b">
        <f>IF(W9="Yes",FALSE,TRUE)</f>
        <v>1</v>
      </c>
      <c r="W44" s="340"/>
      <c r="X44" s="340"/>
      <c r="Z44" s="340"/>
      <c r="AA44" s="102" t="s">
        <v>290</v>
      </c>
      <c r="AB44" s="134" t="b">
        <f>IF(AC9="Yes",FALSE,TRUE)</f>
        <v>1</v>
      </c>
      <c r="AC44" s="340"/>
      <c r="AD44" s="340"/>
      <c r="AF44" s="340"/>
      <c r="AG44" s="102"/>
      <c r="AH44" s="103"/>
      <c r="AI44" s="340"/>
      <c r="AJ44" s="340"/>
      <c r="AL44" s="340"/>
      <c r="AM44" s="102" t="s">
        <v>711</v>
      </c>
      <c r="AN44" s="134" t="b">
        <f>IF(AO9="Yes",FALSE,TRUE)</f>
        <v>1</v>
      </c>
      <c r="AO44" s="340"/>
      <c r="AP44" s="340"/>
      <c r="AS44" s="106">
        <f t="shared" si="0"/>
        <v>0</v>
      </c>
      <c r="AT44" s="106" t="str">
        <f>IF(AS44=0,"",SUM($AS$11:$AS44))</f>
        <v/>
      </c>
      <c r="AU44" t="str">
        <f>IF(AV44="","",H12)</f>
        <v/>
      </c>
      <c r="AV44" t="str">
        <f>IF(AND($AV$41=TRUE,K12=TRUE),"Health Conditions","")</f>
        <v/>
      </c>
      <c r="AW44" s="97">
        <v>3</v>
      </c>
      <c r="AX44" t="s">
        <v>129</v>
      </c>
      <c r="AY44" t="s">
        <v>145</v>
      </c>
      <c r="AZ44" t="s">
        <v>132</v>
      </c>
      <c r="BB44" t="s">
        <v>136</v>
      </c>
      <c r="BC44" t="s">
        <v>677</v>
      </c>
      <c r="BD44" t="s">
        <v>868</v>
      </c>
      <c r="BE44" s="224" t="s">
        <v>536</v>
      </c>
      <c r="BF44" s="224" t="s">
        <v>538</v>
      </c>
      <c r="BG44" t="str">
        <f t="shared" ref="BG44:BG48" si="11">$L$51</f>
        <v>Please complete W.3.b</v>
      </c>
      <c r="BH44" t="str">
        <f t="shared" si="2"/>
        <v>Yes(1)</v>
      </c>
      <c r="BI44" t="str">
        <f t="shared" si="10"/>
        <v>Access Control List</v>
      </c>
      <c r="BJ44" t="str">
        <f t="shared" si="4"/>
        <v/>
      </c>
    </row>
    <row r="45" spans="2:62">
      <c r="B45" s="342"/>
      <c r="C45" s="102" t="s">
        <v>263</v>
      </c>
      <c r="D45" s="340" t="s">
        <v>705</v>
      </c>
      <c r="E45" s="340"/>
      <c r="F45" s="340"/>
      <c r="G45" t="s">
        <v>172</v>
      </c>
      <c r="H45" s="340"/>
      <c r="I45" s="102" t="s">
        <v>702</v>
      </c>
      <c r="J45" s="340" t="s">
        <v>704</v>
      </c>
      <c r="K45" s="340"/>
      <c r="L45" s="340"/>
      <c r="M45" t="s">
        <v>468</v>
      </c>
      <c r="N45" s="340"/>
      <c r="O45" s="102" t="s">
        <v>747</v>
      </c>
      <c r="P45" s="340" t="s">
        <v>703</v>
      </c>
      <c r="Q45" s="340"/>
      <c r="R45" s="340"/>
      <c r="S45" t="s">
        <v>172</v>
      </c>
      <c r="T45" s="340"/>
      <c r="U45" s="102" t="s">
        <v>706</v>
      </c>
      <c r="V45" s="340" t="s">
        <v>707</v>
      </c>
      <c r="W45" s="340"/>
      <c r="X45" s="340"/>
      <c r="Y45" t="s">
        <v>172</v>
      </c>
      <c r="Z45" s="340"/>
      <c r="AA45" s="102" t="s">
        <v>708</v>
      </c>
      <c r="AB45" s="340" t="s">
        <v>709</v>
      </c>
      <c r="AC45" s="340"/>
      <c r="AD45" s="340"/>
      <c r="AE45" t="s">
        <v>172</v>
      </c>
      <c r="AF45" s="340"/>
      <c r="AG45" s="102"/>
      <c r="AH45" s="340"/>
      <c r="AI45" s="340"/>
      <c r="AJ45" s="340"/>
      <c r="AL45" s="340"/>
      <c r="AM45" s="102" t="s">
        <v>263</v>
      </c>
      <c r="AN45" s="340" t="s">
        <v>710</v>
      </c>
      <c r="AO45" s="340"/>
      <c r="AP45" s="340"/>
      <c r="AS45" s="106">
        <f t="shared" si="0"/>
        <v>0</v>
      </c>
      <c r="AT45" s="106" t="str">
        <f>IF(AS45=0,"",SUM($AS$11:$AS45))</f>
        <v/>
      </c>
      <c r="AU45" t="str">
        <f>IF(AV45="","",H13)</f>
        <v/>
      </c>
      <c r="AV45" t="str">
        <f>IF(AND($AV$41=TRUE,K13=TRUE),"DBS Check","")</f>
        <v/>
      </c>
      <c r="AW45" s="97">
        <v>3</v>
      </c>
      <c r="AX45" t="s">
        <v>129</v>
      </c>
      <c r="AY45" t="s">
        <v>145</v>
      </c>
      <c r="AZ45" t="s">
        <v>132</v>
      </c>
      <c r="BA45" s="104" t="str">
        <f>D60</f>
        <v>Acme DBS Ltd.</v>
      </c>
      <c r="BB45" t="s">
        <v>160</v>
      </c>
      <c r="BC45" t="s">
        <v>677</v>
      </c>
      <c r="BD45" t="s">
        <v>861</v>
      </c>
      <c r="BE45" s="224" t="s">
        <v>536</v>
      </c>
      <c r="BF45" s="224" t="s">
        <v>538</v>
      </c>
      <c r="BG45" t="str">
        <f t="shared" si="11"/>
        <v>Please complete W.3.b</v>
      </c>
      <c r="BH45" t="str">
        <f t="shared" si="2"/>
        <v>Yes(1)</v>
      </c>
      <c r="BI45" t="str">
        <f t="shared" si="10"/>
        <v>Access Control List</v>
      </c>
      <c r="BJ45" t="str">
        <f t="shared" si="4"/>
        <v/>
      </c>
    </row>
    <row r="46" spans="2:62">
      <c r="B46" s="342"/>
      <c r="C46" s="340"/>
      <c r="D46" s="340"/>
      <c r="E46" s="340"/>
      <c r="F46" s="340"/>
      <c r="G46" t="s">
        <v>172</v>
      </c>
      <c r="H46" s="340"/>
      <c r="I46" s="340"/>
      <c r="J46" s="340"/>
      <c r="K46" s="340"/>
      <c r="L46" s="340"/>
      <c r="M46" t="s">
        <v>468</v>
      </c>
      <c r="N46" s="340"/>
      <c r="O46" s="340"/>
      <c r="P46" s="340"/>
      <c r="Q46" s="340"/>
      <c r="R46" s="340"/>
      <c r="T46" s="340"/>
      <c r="U46" s="340"/>
      <c r="V46" s="340"/>
      <c r="W46" s="340"/>
      <c r="X46" s="340"/>
      <c r="Z46" s="340"/>
      <c r="AA46" s="340"/>
      <c r="AB46" s="340"/>
      <c r="AC46" s="340"/>
      <c r="AD46" s="340"/>
      <c r="AF46" s="340"/>
      <c r="AG46" s="340"/>
      <c r="AH46" s="340"/>
      <c r="AI46" s="340"/>
      <c r="AJ46" s="340"/>
      <c r="AL46" s="340"/>
      <c r="AM46" s="340"/>
      <c r="AN46" s="340"/>
      <c r="AO46" s="340"/>
      <c r="AP46" s="340"/>
      <c r="AS46" s="106">
        <f t="shared" si="0"/>
        <v>0</v>
      </c>
      <c r="AT46" s="106" t="str">
        <f>IF(AS46=0,"",SUM($AS$11:$AS46))</f>
        <v/>
      </c>
      <c r="AU46" t="str">
        <f>IF(AV46="","",H15)</f>
        <v/>
      </c>
      <c r="AV46" t="str">
        <f>IF(AND($AV$41=TRUE,K15=TRUE),"Equality or Diversity data","")</f>
        <v/>
      </c>
      <c r="AW46" s="97">
        <v>3</v>
      </c>
      <c r="AX46" t="s">
        <v>129</v>
      </c>
      <c r="AY46" t="s">
        <v>145</v>
      </c>
      <c r="AZ46" t="s">
        <v>132</v>
      </c>
      <c r="BB46" t="s">
        <v>136</v>
      </c>
      <c r="BC46" t="s">
        <v>677</v>
      </c>
      <c r="BD46" t="s">
        <v>868</v>
      </c>
      <c r="BE46" s="224" t="s">
        <v>536</v>
      </c>
      <c r="BF46" s="224" t="s">
        <v>538</v>
      </c>
      <c r="BG46" t="str">
        <f t="shared" si="11"/>
        <v>Please complete W.3.b</v>
      </c>
      <c r="BH46" t="str">
        <f t="shared" si="2"/>
        <v>Yes(1)</v>
      </c>
      <c r="BI46" t="str">
        <f t="shared" si="10"/>
        <v>Access Control List</v>
      </c>
      <c r="BJ46" t="str">
        <f t="shared" si="4"/>
        <v/>
      </c>
    </row>
    <row r="47" spans="2:62">
      <c r="B47" s="340" t="str">
        <f>'W - Worfklow'!N33</f>
        <v>W.2.c</v>
      </c>
      <c r="C47" s="102" t="s">
        <v>412</v>
      </c>
      <c r="D47" s="134" t="b">
        <f>IF('W - Worfklow'!H33="Yes",TRUE,FALSE)</f>
        <v>0</v>
      </c>
      <c r="E47" s="340"/>
      <c r="F47" s="340"/>
      <c r="G47" t="s">
        <v>172</v>
      </c>
      <c r="H47" s="340"/>
      <c r="I47" s="340"/>
      <c r="J47" s="340"/>
      <c r="K47" s="340"/>
      <c r="L47" s="340"/>
      <c r="M47" t="s">
        <v>468</v>
      </c>
      <c r="N47" s="340"/>
      <c r="O47" s="340"/>
      <c r="P47" s="340"/>
      <c r="Q47" s="340"/>
      <c r="R47" s="340"/>
      <c r="T47" s="340"/>
      <c r="U47" s="340"/>
      <c r="V47" s="340"/>
      <c r="W47" s="340"/>
      <c r="X47" s="340"/>
      <c r="Z47" s="340"/>
      <c r="AA47" s="340"/>
      <c r="AB47" s="340"/>
      <c r="AC47" s="340"/>
      <c r="AD47" s="340"/>
      <c r="AF47" s="340"/>
      <c r="AG47" s="220" t="s">
        <v>512</v>
      </c>
      <c r="AH47" s="340"/>
      <c r="AI47" s="340" t="s">
        <v>498</v>
      </c>
      <c r="AJ47" s="340" t="s">
        <v>774</v>
      </c>
      <c r="AL47" s="340"/>
      <c r="AM47" s="340"/>
      <c r="AN47" s="340"/>
      <c r="AO47" s="340"/>
      <c r="AP47" s="340"/>
      <c r="AS47" s="106">
        <f t="shared" si="0"/>
        <v>0</v>
      </c>
      <c r="AT47" s="106" t="str">
        <f>IF(AS47=0,"",SUM($AS$11:$AS47))</f>
        <v/>
      </c>
      <c r="AU47" t="str">
        <f>IF(AV47="","",H16)</f>
        <v/>
      </c>
      <c r="AV47" t="str">
        <f>IF(AND($AV$41=TRUE,K16=TRUE),"Skills or Qualifications","")</f>
        <v/>
      </c>
      <c r="AW47" s="97">
        <v>2</v>
      </c>
      <c r="AX47" t="s">
        <v>144</v>
      </c>
      <c r="AY47" t="s">
        <v>145</v>
      </c>
      <c r="AZ47" t="s">
        <v>146</v>
      </c>
      <c r="BB47" t="s">
        <v>136</v>
      </c>
      <c r="BC47" t="s">
        <v>677</v>
      </c>
      <c r="BD47" t="s">
        <v>868</v>
      </c>
      <c r="BE47" s="224" t="s">
        <v>536</v>
      </c>
      <c r="BG47" t="str">
        <f t="shared" si="11"/>
        <v>Please complete W.3.b</v>
      </c>
      <c r="BH47" t="str">
        <f t="shared" si="2"/>
        <v/>
      </c>
      <c r="BI47" t="str">
        <f t="shared" si="10"/>
        <v>Access Control List</v>
      </c>
      <c r="BJ47" t="str">
        <f t="shared" si="4"/>
        <v/>
      </c>
    </row>
    <row r="48" spans="2:62">
      <c r="B48" s="340" t="str">
        <f>'W - Worfklow'!N34</f>
        <v>W.2.d</v>
      </c>
      <c r="C48" s="102" t="s">
        <v>416</v>
      </c>
      <c r="D48" s="134" t="b">
        <f>IF('W - Worfklow'!H34="Yes",TRUE,FALSE)</f>
        <v>0</v>
      </c>
      <c r="E48" s="340"/>
      <c r="F48" s="340"/>
      <c r="G48" t="s">
        <v>172</v>
      </c>
      <c r="H48" s="340"/>
      <c r="I48" s="340"/>
      <c r="J48" s="340"/>
      <c r="K48" s="340"/>
      <c r="L48" s="340"/>
      <c r="M48" t="s">
        <v>468</v>
      </c>
      <c r="N48" s="340"/>
      <c r="O48" s="340"/>
      <c r="P48" s="340"/>
      <c r="Q48" s="340"/>
      <c r="R48" s="340"/>
      <c r="T48" s="340"/>
      <c r="U48" s="220" t="s">
        <v>513</v>
      </c>
      <c r="V48" s="340"/>
      <c r="W48" s="340"/>
      <c r="X48" s="340"/>
      <c r="Z48" s="340"/>
      <c r="AA48" s="340"/>
      <c r="AB48" s="340"/>
      <c r="AC48" s="340"/>
      <c r="AD48" s="340"/>
      <c r="AE48" t="s">
        <v>468</v>
      </c>
      <c r="AF48" s="340"/>
      <c r="AG48" s="102" t="s">
        <v>111</v>
      </c>
      <c r="AH48" s="343" t="str">
        <f>'W - Worfklow'!H25</f>
        <v>Please Select:</v>
      </c>
      <c r="AI48" s="343" t="str">
        <f>'W - Worfklow'!N25</f>
        <v>W.1.a</v>
      </c>
      <c r="AJ48" s="340"/>
      <c r="AL48" s="340"/>
      <c r="AM48" s="340"/>
      <c r="AN48" s="340"/>
      <c r="AO48" s="340"/>
      <c r="AP48" s="340"/>
      <c r="AS48" s="106">
        <f t="shared" si="0"/>
        <v>0</v>
      </c>
      <c r="AT48" s="106" t="str">
        <f>IF(AS48=0,"",SUM($AS$11:$AS48))</f>
        <v/>
      </c>
      <c r="AU48" t="str">
        <f>IF(AV48="","",H17)</f>
        <v/>
      </c>
      <c r="AV48" t="str">
        <f>IF(AND($AV$41=TRUE,K17=TRUE),"Availability","")</f>
        <v/>
      </c>
      <c r="AW48" s="97">
        <v>2</v>
      </c>
      <c r="AX48" t="s">
        <v>144</v>
      </c>
      <c r="AY48" t="s">
        <v>145</v>
      </c>
      <c r="AZ48" t="s">
        <v>146</v>
      </c>
      <c r="BB48" t="s">
        <v>136</v>
      </c>
      <c r="BC48" t="s">
        <v>677</v>
      </c>
      <c r="BD48" t="s">
        <v>868</v>
      </c>
      <c r="BE48" s="224" t="s">
        <v>536</v>
      </c>
      <c r="BG48" t="str">
        <f t="shared" si="11"/>
        <v>Please complete W.3.b</v>
      </c>
      <c r="BH48" t="str">
        <f t="shared" si="2"/>
        <v/>
      </c>
      <c r="BI48" t="str">
        <f t="shared" si="10"/>
        <v>Access Control List</v>
      </c>
      <c r="BJ48" t="str">
        <f t="shared" si="4"/>
        <v/>
      </c>
    </row>
    <row r="49" spans="2:62">
      <c r="B49" s="340"/>
      <c r="C49" s="220" t="s">
        <v>513</v>
      </c>
      <c r="D49" s="341"/>
      <c r="E49" s="340"/>
      <c r="F49" s="340"/>
      <c r="G49" t="s">
        <v>172</v>
      </c>
      <c r="H49" s="340"/>
      <c r="I49" s="220" t="s">
        <v>513</v>
      </c>
      <c r="J49" s="340"/>
      <c r="K49" s="340"/>
      <c r="L49" s="340"/>
      <c r="M49" t="s">
        <v>468</v>
      </c>
      <c r="N49" s="340"/>
      <c r="O49" s="220" t="s">
        <v>513</v>
      </c>
      <c r="P49" s="340"/>
      <c r="Q49" s="340"/>
      <c r="R49" s="340"/>
      <c r="S49" t="s">
        <v>172</v>
      </c>
      <c r="T49" s="340"/>
      <c r="U49" s="102" t="s">
        <v>283</v>
      </c>
      <c r="V49" s="343" t="str">
        <f>'W - Worfklow'!H55</f>
        <v>Please Select:</v>
      </c>
      <c r="W49" s="340"/>
      <c r="X49" s="340"/>
      <c r="Z49" s="340"/>
      <c r="AA49" s="340"/>
      <c r="AB49" s="340"/>
      <c r="AC49" s="340"/>
      <c r="AD49" s="340"/>
      <c r="AE49" t="s">
        <v>468</v>
      </c>
      <c r="AF49" s="340"/>
      <c r="AG49" s="102" t="s">
        <v>764</v>
      </c>
      <c r="AH49" s="343" t="str">
        <f>'W - Worfklow'!H26</f>
        <v>Please Select:</v>
      </c>
      <c r="AI49" s="343" t="str">
        <f>'W - Worfklow'!N26</f>
        <v>W.1.b</v>
      </c>
      <c r="AJ49" s="343" t="str">
        <f>IF(AH48="Paper only","Not Applicable",IF(OR(AH49=$T$2,AH49=$T$5),"Please complete "&amp;AI49,IF(AH49=$T$3,"UK / EU","Outside UK / EU")))</f>
        <v>Please complete W.1.b</v>
      </c>
      <c r="AL49" s="340"/>
      <c r="AM49" s="340"/>
      <c r="AN49" s="340"/>
      <c r="AO49" s="340"/>
      <c r="AP49" s="340"/>
      <c r="AS49" s="106">
        <f t="shared" si="0"/>
        <v>0</v>
      </c>
      <c r="AT49" s="106" t="str">
        <f>IF(AS49=0,"",SUM($AS$11:$AS49))</f>
        <v/>
      </c>
      <c r="AU49" t="str">
        <f>IF(AV49="","",H19)</f>
        <v/>
      </c>
      <c r="AV49" t="str">
        <f>IF(AND($AV$41=TRUE,K18&lt;&gt;"Please Select:"),K19,"")</f>
        <v/>
      </c>
      <c r="AW49" s="97" t="str">
        <f>_xlfn.IFNA(VLOOKUP(K18,$AV$3:$AW$6,2,FALSE),"")</f>
        <v/>
      </c>
      <c r="AX49" t="s">
        <v>174</v>
      </c>
      <c r="AY49" t="s">
        <v>145</v>
      </c>
      <c r="AZ49" t="s">
        <v>174</v>
      </c>
      <c r="BA49" t="s">
        <v>174</v>
      </c>
      <c r="BB49" t="s">
        <v>174</v>
      </c>
      <c r="BC49" t="s">
        <v>677</v>
      </c>
      <c r="BE49" t="s">
        <v>174</v>
      </c>
      <c r="BF49" t="str">
        <f>IF(K18=$AV$5,"Please Complete","")</f>
        <v/>
      </c>
      <c r="BG49" t="s">
        <v>174</v>
      </c>
      <c r="BH49" t="str">
        <f t="shared" si="2"/>
        <v/>
      </c>
      <c r="BI49" t="s">
        <v>174</v>
      </c>
      <c r="BJ49" t="str">
        <f t="shared" si="4"/>
        <v/>
      </c>
    </row>
    <row r="50" spans="2:62">
      <c r="B50" s="340"/>
      <c r="C50" s="102" t="s">
        <v>274</v>
      </c>
      <c r="D50" s="343" t="str">
        <f>'W - Worfklow'!H31</f>
        <v>Please Select:</v>
      </c>
      <c r="E50" s="340"/>
      <c r="F50" s="340"/>
      <c r="G50" t="s">
        <v>172</v>
      </c>
      <c r="H50" s="340"/>
      <c r="I50" s="102" t="s">
        <v>273</v>
      </c>
      <c r="J50" s="343" t="str">
        <f>'W - Worfklow'!H41</f>
        <v>Please Select:</v>
      </c>
      <c r="K50" s="340"/>
      <c r="L50" s="340"/>
      <c r="M50" t="s">
        <v>468</v>
      </c>
      <c r="N50" s="340"/>
      <c r="O50" s="102" t="s">
        <v>272</v>
      </c>
      <c r="P50" s="343" t="str">
        <f>'W - Worfklow'!H48</f>
        <v>Please Select:</v>
      </c>
      <c r="Q50" s="340"/>
      <c r="R50" s="340"/>
      <c r="S50" t="s">
        <v>172</v>
      </c>
      <c r="T50" s="340"/>
      <c r="U50" s="102" t="s">
        <v>258</v>
      </c>
      <c r="V50" s="343" t="str">
        <f>'W - Worfklow'!H56</f>
        <v>Please Select:</v>
      </c>
      <c r="W50" s="343" t="str">
        <f>'W - Worfklow'!N56</f>
        <v>W.5.b</v>
      </c>
      <c r="X50" s="343" t="str">
        <f>IF(V49="Paper only","Not Applicable",IF(OR(V50=$T$2,V50=$T$5),"Please complete "&amp;W50,IF(V50=$T$3,"UK / EU","Outside UK / EU")))</f>
        <v>Please complete W.5.b</v>
      </c>
      <c r="Z50" s="340"/>
      <c r="AA50" s="220" t="s">
        <v>513</v>
      </c>
      <c r="AB50" s="340"/>
      <c r="AC50" s="340"/>
      <c r="AD50" s="340"/>
      <c r="AE50" t="s">
        <v>468</v>
      </c>
      <c r="AF50" s="340"/>
      <c r="AG50" s="102" t="s">
        <v>752</v>
      </c>
      <c r="AH50" s="343" t="str">
        <f>'W - Worfklow'!H27</f>
        <v>Please Select:</v>
      </c>
      <c r="AI50" s="343" t="str">
        <f>'W - Worfklow'!N27</f>
        <v>W.1.c</v>
      </c>
      <c r="AJ50" s="343" t="str">
        <f>IF(AH48="Paper only", "Not Applicable",IF(AH50="Please select:","Please complete "&amp;AI50,AH50))</f>
        <v>Please complete W.1.c</v>
      </c>
      <c r="AL50" s="340"/>
      <c r="AM50" s="220" t="s">
        <v>513</v>
      </c>
      <c r="AN50" s="340"/>
      <c r="AO50" s="340"/>
      <c r="AP50" s="340"/>
      <c r="AT50" s="106" t="str">
        <f>IF(AS50=0,"",SUM($AS$11:$AS50))</f>
        <v/>
      </c>
      <c r="AU50" s="110" t="s">
        <v>153</v>
      </c>
      <c r="AV50" s="105" t="b">
        <f>IF(Q9="Yes", TRUE,FALSE)</f>
        <v>0</v>
      </c>
      <c r="BH50" t="str">
        <f t="shared" si="2"/>
        <v/>
      </c>
      <c r="BJ50" t="str">
        <f t="shared" si="4"/>
        <v/>
      </c>
    </row>
    <row r="51" spans="2:62">
      <c r="B51" s="340"/>
      <c r="C51" s="102" t="s">
        <v>764</v>
      </c>
      <c r="D51" s="343" t="str">
        <f>'W - Worfklow'!H32</f>
        <v>Please Select:</v>
      </c>
      <c r="E51" s="343" t="str">
        <f>'W - Worfklow'!N32</f>
        <v>W.2.b</v>
      </c>
      <c r="F51" s="343" t="str">
        <f>IF(D50="Paper only","Not Applicable",IF(OR(D51=$T$2,D51=$T$5),"Please complete "&amp;E51,IF(D51=$T$3,"UK / EU","Outside UK / EU")))</f>
        <v>Please complete W.2.b</v>
      </c>
      <c r="H51" s="340"/>
      <c r="I51" s="102" t="s">
        <v>764</v>
      </c>
      <c r="J51" s="343" t="str">
        <f>'W - Worfklow'!H42</f>
        <v>Please Select:</v>
      </c>
      <c r="K51" s="343" t="str">
        <f>'W - Worfklow'!N42</f>
        <v>W.3.b</v>
      </c>
      <c r="L51" s="343" t="str">
        <f>IF(J50="Paper only","Not Applicable",IF(OR(J51=$T$2,J51=$T$5),"Please complete "&amp;K51,IF(J51=$T$3,"UK / EU","Outside UK/EU")))</f>
        <v>Please complete W.3.b</v>
      </c>
      <c r="M51" t="s">
        <v>468</v>
      </c>
      <c r="N51" s="340"/>
      <c r="O51" s="102" t="s">
        <v>764</v>
      </c>
      <c r="P51" s="343" t="str">
        <f>'W - Worfklow'!H49</f>
        <v>Please Select:</v>
      </c>
      <c r="Q51" s="343" t="str">
        <f>'W - Worfklow'!N49</f>
        <v>W.4.b</v>
      </c>
      <c r="R51" s="343" t="str">
        <f>IF(P50="Paper only","Not Applicable",IF(OR(P51=$T$2,P51=$T$5),"Please complete "&amp;Q51,IF(P51=$T$3,"UK / EU","Outside UK / EU")))</f>
        <v>Please complete W.4.b</v>
      </c>
      <c r="S51" t="s">
        <v>468</v>
      </c>
      <c r="T51" s="340"/>
      <c r="U51" s="102" t="s">
        <v>756</v>
      </c>
      <c r="V51" s="343" t="str">
        <f>'W - Worfklow'!H57</f>
        <v>Please Select:</v>
      </c>
      <c r="W51" s="343" t="str">
        <f>'W - Worfklow'!N57</f>
        <v>W.5.c</v>
      </c>
      <c r="X51" s="343" t="str">
        <f>IF(V51=$V$2,"Please complete "&amp;W51,IF(OR(V51=$V$3,V51=$V$4),"UK / EU","Outside UK / EU"))</f>
        <v>Please complete W.5.c</v>
      </c>
      <c r="Y51" t="s">
        <v>468</v>
      </c>
      <c r="Z51" s="340"/>
      <c r="AA51" s="102" t="s">
        <v>519</v>
      </c>
      <c r="AB51" s="343" t="str">
        <f>'W - Worfklow'!H64</f>
        <v>Please Select:</v>
      </c>
      <c r="AC51" s="340"/>
      <c r="AD51" s="340"/>
      <c r="AE51" t="s">
        <v>468</v>
      </c>
      <c r="AF51" s="340"/>
      <c r="AG51" s="102" t="s">
        <v>113</v>
      </c>
      <c r="AH51" s="343" t="str">
        <f>'W - Worfklow'!H28</f>
        <v>Please Select:</v>
      </c>
      <c r="AI51" s="343" t="str">
        <f>'W - Worfklow'!N28</f>
        <v>W.1.d</v>
      </c>
      <c r="AJ51" s="340"/>
      <c r="AK51" t="s">
        <v>468</v>
      </c>
      <c r="AL51" s="340"/>
      <c r="AM51" s="102" t="s">
        <v>303</v>
      </c>
      <c r="AN51" s="343" t="str">
        <f>'W - Worfklow'!H70</f>
        <v>Please Select:</v>
      </c>
      <c r="AO51" s="340"/>
      <c r="AP51" s="340"/>
      <c r="AS51" s="106">
        <f t="shared" si="0"/>
        <v>0</v>
      </c>
      <c r="AT51" s="106" t="str">
        <f>IF(AS51=0,"",SUM($AS$11:$AS51))</f>
        <v/>
      </c>
      <c r="AU51" t="str">
        <f>IF(AV51="","",N10)</f>
        <v/>
      </c>
      <c r="AV51" t="str">
        <f>IF(AND($AV$50=TRUE,Q10=TRUE),"Beneficiary Contact Details","")</f>
        <v/>
      </c>
      <c r="AW51" s="97">
        <v>2</v>
      </c>
      <c r="AX51" t="s">
        <v>159</v>
      </c>
      <c r="AY51" t="s">
        <v>319</v>
      </c>
      <c r="AZ51" t="s">
        <v>159</v>
      </c>
      <c r="BA51" s="104" t="s">
        <v>165</v>
      </c>
      <c r="BB51" t="s">
        <v>136</v>
      </c>
      <c r="BC51" t="s">
        <v>678</v>
      </c>
      <c r="BD51" t="s">
        <v>860</v>
      </c>
      <c r="BE51" s="224" t="s">
        <v>537</v>
      </c>
      <c r="BG51" t="str">
        <f>$R$52</f>
        <v>Please complete W.4.c</v>
      </c>
      <c r="BH51" t="str">
        <f t="shared" si="2"/>
        <v/>
      </c>
      <c r="BI51" t="str">
        <f>$R$53</f>
        <v>Please complete W.4.d</v>
      </c>
      <c r="BJ51" t="str">
        <f t="shared" si="4"/>
        <v/>
      </c>
    </row>
    <row r="52" spans="2:62">
      <c r="B52" s="340"/>
      <c r="C52" s="102" t="s">
        <v>756</v>
      </c>
      <c r="D52" s="343" t="str">
        <f>'W - Worfklow'!H35</f>
        <v>Please Select:</v>
      </c>
      <c r="E52" s="343" t="str">
        <f>'W - Worfklow'!N35</f>
        <v>W.2.e</v>
      </c>
      <c r="F52" s="343" t="str">
        <f>IF(D52=$V$2,"Please complete "&amp;E52,IF(OR(D52=$V$3,D52=$V$4),"UK / EU","Outside UK / EU"))</f>
        <v>Please complete W.2.e</v>
      </c>
      <c r="G52" t="s">
        <v>172</v>
      </c>
      <c r="H52" s="340"/>
      <c r="I52" s="102" t="s">
        <v>756</v>
      </c>
      <c r="J52" s="343" t="str">
        <f>'W - Worfklow'!H43</f>
        <v>Please Select:</v>
      </c>
      <c r="K52" s="343" t="str">
        <f>'W - Worfklow'!N43</f>
        <v>W.3.c</v>
      </c>
      <c r="L52" s="343" t="str">
        <f>IF(J52=$V$2,"Please complete "&amp;K52,IF(OR(J52=$V$3,J52=$V$4),"UK / EU","Outside UK / EU"))</f>
        <v>Please complete W.3.c</v>
      </c>
      <c r="M52" t="s">
        <v>468</v>
      </c>
      <c r="N52" s="340"/>
      <c r="O52" s="102" t="s">
        <v>756</v>
      </c>
      <c r="P52" s="343" t="str">
        <f>'W - Worfklow'!H50</f>
        <v>Please Select:</v>
      </c>
      <c r="Q52" s="343" t="str">
        <f>'W - Worfklow'!N50</f>
        <v>W.4.c</v>
      </c>
      <c r="R52" s="343" t="str">
        <f>IF(P52=$V$2,"Please complete "&amp;Q52,IF(OR(P52=$V$3,P52=$V$4),"UK / EU","Outside UK / EU"))</f>
        <v>Please complete W.4.c</v>
      </c>
      <c r="S52" t="s">
        <v>468</v>
      </c>
      <c r="T52" s="340"/>
      <c r="U52" s="102" t="s">
        <v>752</v>
      </c>
      <c r="V52" s="343" t="str">
        <f>'W - Worfklow'!H58</f>
        <v>Please Select:</v>
      </c>
      <c r="W52" s="343" t="str">
        <f>'W - Worfklow'!N58</f>
        <v>W.5.d</v>
      </c>
      <c r="X52" s="343" t="str">
        <f>IF(V52="Please select:","Please complete "&amp;W52,V52)</f>
        <v>Please complete W.5.d</v>
      </c>
      <c r="Y52" t="s">
        <v>468</v>
      </c>
      <c r="Z52" s="340"/>
      <c r="AA52" s="102" t="s">
        <v>258</v>
      </c>
      <c r="AB52" s="343" t="str">
        <f>'W - Worfklow'!H65</f>
        <v>Please Select:</v>
      </c>
      <c r="AC52" s="343" t="str">
        <f>'W - Worfklow'!N65</f>
        <v>W.6.b</v>
      </c>
      <c r="AD52" s="343" t="str">
        <f>IF(AB51="Paper only","Not Applicable",IF(OR(AB52=$T$2,AB52=$T$5),"Please complete "&amp;AC52,IF(AB52=$T$3,"UK / EU","Outside UK / EU")))</f>
        <v>Please complete W.6.b</v>
      </c>
      <c r="AF52" s="340"/>
      <c r="AG52" s="340"/>
      <c r="AH52" s="340"/>
      <c r="AI52" s="340"/>
      <c r="AJ52" s="340"/>
      <c r="AK52" t="s">
        <v>468</v>
      </c>
      <c r="AL52" s="340"/>
      <c r="AM52" s="102" t="s">
        <v>258</v>
      </c>
      <c r="AN52" s="343" t="str">
        <f>'W - Worfklow'!H71</f>
        <v>Please Select:</v>
      </c>
      <c r="AO52" s="340"/>
      <c r="AP52" s="340"/>
      <c r="AS52" s="106">
        <f t="shared" si="0"/>
        <v>0</v>
      </c>
      <c r="AT52" s="106" t="str">
        <f>IF(AS52=0,"",SUM($AS$11:$AS52))</f>
        <v/>
      </c>
      <c r="AU52" t="str">
        <f>IF(AV52="","",N11)</f>
        <v/>
      </c>
      <c r="AV52" t="str">
        <f>IF(AND($AV$50=TRUE,Q11=TRUE),"Beneficiary DoB","")</f>
        <v/>
      </c>
      <c r="AW52" s="97">
        <v>2</v>
      </c>
      <c r="AX52" t="s">
        <v>159</v>
      </c>
      <c r="AY52" t="s">
        <v>319</v>
      </c>
      <c r="AZ52" t="s">
        <v>159</v>
      </c>
      <c r="BA52" s="104" t="s">
        <v>165</v>
      </c>
      <c r="BB52" t="s">
        <v>136</v>
      </c>
      <c r="BC52" t="s">
        <v>678</v>
      </c>
      <c r="BD52" t="s">
        <v>860</v>
      </c>
      <c r="BE52" s="224" t="s">
        <v>537</v>
      </c>
      <c r="BG52" t="str">
        <f t="shared" ref="BG52:BG56" si="12">$R$52</f>
        <v>Please complete W.4.c</v>
      </c>
      <c r="BH52" t="str">
        <f t="shared" si="2"/>
        <v/>
      </c>
      <c r="BI52" t="str">
        <f t="shared" ref="BI52:BI56" si="13">$R$53</f>
        <v>Please complete W.4.d</v>
      </c>
      <c r="BJ52" t="str">
        <f t="shared" si="4"/>
        <v/>
      </c>
    </row>
    <row r="53" spans="2:62">
      <c r="B53" s="340"/>
      <c r="C53" s="102" t="s">
        <v>752</v>
      </c>
      <c r="D53" s="343" t="str">
        <f>'W - Worfklow'!H36</f>
        <v>Please Select:</v>
      </c>
      <c r="E53" s="343" t="str">
        <f>'W - Worfklow'!N36</f>
        <v>W.2.f</v>
      </c>
      <c r="F53" s="343" t="str">
        <f>IF(D53="Please select:","Please complete "&amp;E53,D53)</f>
        <v>Please complete W.2.f</v>
      </c>
      <c r="H53" s="340"/>
      <c r="I53" s="102" t="s">
        <v>752</v>
      </c>
      <c r="J53" s="343" t="str">
        <f>'W - Worfklow'!H44</f>
        <v>Access Control List</v>
      </c>
      <c r="K53" s="343" t="str">
        <f>'W - Worfklow'!N44</f>
        <v>W.3.d</v>
      </c>
      <c r="L53" s="343" t="str">
        <f>IF(J53="Please select:","Please complete "&amp;K53,J53)</f>
        <v>Access Control List</v>
      </c>
      <c r="M53" t="s">
        <v>468</v>
      </c>
      <c r="N53" s="340"/>
      <c r="O53" s="102" t="s">
        <v>752</v>
      </c>
      <c r="P53" s="343" t="str">
        <f>'W - Worfklow'!H51</f>
        <v>Please Select:</v>
      </c>
      <c r="Q53" s="343" t="str">
        <f>'W - Worfklow'!N51</f>
        <v>W.4.d</v>
      </c>
      <c r="R53" s="343" t="str">
        <f>IF(P53="Please select:","Please complete "&amp;Q53,P53)</f>
        <v>Please complete W.4.d</v>
      </c>
      <c r="T53" s="340"/>
      <c r="U53" s="102" t="s">
        <v>515</v>
      </c>
      <c r="V53" s="134" t="b">
        <f>IF('D - Data Collection'!H69="Yes",TRUE,FALSE)</f>
        <v>0</v>
      </c>
      <c r="W53" s="340"/>
      <c r="X53" s="340"/>
      <c r="Y53" t="s">
        <v>468</v>
      </c>
      <c r="Z53" s="340"/>
      <c r="AA53" s="102" t="s">
        <v>514</v>
      </c>
      <c r="AB53" s="343" t="str">
        <f>'W - Worfklow'!H66</f>
        <v>Please Select:</v>
      </c>
      <c r="AC53" s="343"/>
      <c r="AD53" s="340"/>
      <c r="AF53" s="340"/>
      <c r="AG53" s="340"/>
      <c r="AH53" s="340"/>
      <c r="AI53" s="340"/>
      <c r="AJ53" s="340"/>
      <c r="AL53" s="340"/>
      <c r="AM53" s="340"/>
      <c r="AN53" s="340"/>
      <c r="AO53" s="340"/>
      <c r="AP53" s="340"/>
      <c r="AS53" s="106">
        <f t="shared" si="0"/>
        <v>0</v>
      </c>
      <c r="AT53" s="106" t="str">
        <f>IF(AS53=0,"",SUM($AS$11:$AS53))</f>
        <v/>
      </c>
      <c r="AU53" t="str">
        <f>IF(AV53="","",N12)</f>
        <v/>
      </c>
      <c r="AV53" t="str">
        <f>IF(AND($AV$50=TRUE,Q12=TRUE),"Health Details","")</f>
        <v/>
      </c>
      <c r="AW53" s="97">
        <v>3</v>
      </c>
      <c r="AX53" t="s">
        <v>159</v>
      </c>
      <c r="AY53" t="s">
        <v>319</v>
      </c>
      <c r="AZ53" t="s">
        <v>159</v>
      </c>
      <c r="BA53" s="104" t="s">
        <v>165</v>
      </c>
      <c r="BB53" t="s">
        <v>136</v>
      </c>
      <c r="BC53" t="s">
        <v>678</v>
      </c>
      <c r="BD53" t="s">
        <v>866</v>
      </c>
      <c r="BE53" s="224" t="s">
        <v>537</v>
      </c>
      <c r="BF53" s="224" t="s">
        <v>540</v>
      </c>
      <c r="BG53" t="str">
        <f t="shared" si="12"/>
        <v>Please complete W.4.c</v>
      </c>
      <c r="BH53" t="str">
        <f t="shared" si="2"/>
        <v>Yes(1)</v>
      </c>
      <c r="BI53" t="str">
        <f t="shared" si="13"/>
        <v>Please complete W.4.d</v>
      </c>
      <c r="BJ53" t="str">
        <f t="shared" si="4"/>
        <v/>
      </c>
    </row>
    <row r="54" spans="2:62">
      <c r="B54" s="340"/>
      <c r="C54" s="102" t="s">
        <v>307</v>
      </c>
      <c r="D54" s="134" t="b">
        <f>IF(E13="Outsourced", TRUE,FALSE)</f>
        <v>0</v>
      </c>
      <c r="E54" s="340"/>
      <c r="F54" s="340"/>
      <c r="G54" t="s">
        <v>172</v>
      </c>
      <c r="H54" s="340"/>
      <c r="I54" s="102" t="s">
        <v>309</v>
      </c>
      <c r="J54" s="134" t="b">
        <f>K13</f>
        <v>0</v>
      </c>
      <c r="K54" s="340"/>
      <c r="L54" s="340"/>
      <c r="M54" t="s">
        <v>468</v>
      </c>
      <c r="N54" s="340"/>
      <c r="O54" s="340"/>
      <c r="P54" s="340"/>
      <c r="Q54" s="340"/>
      <c r="R54" s="340"/>
      <c r="T54" s="340"/>
      <c r="U54" s="102" t="s">
        <v>311</v>
      </c>
      <c r="V54" s="134" t="b">
        <f>IF(W16="Outsourced",TRUE,FALSE)</f>
        <v>0</v>
      </c>
      <c r="W54" s="340"/>
      <c r="X54" s="340"/>
      <c r="Z54" s="340"/>
      <c r="AA54" s="102" t="s">
        <v>756</v>
      </c>
      <c r="AB54" s="343" t="str">
        <f>'W - Worfklow'!H67</f>
        <v>Please Select:</v>
      </c>
      <c r="AC54" s="343" t="str">
        <f>'W - Worfklow'!N67</f>
        <v>W.6.d</v>
      </c>
      <c r="AD54" s="343" t="str">
        <f>IF(AB54=$V$2,"Please complete "&amp;AC54,IF(OR(AB54=$V$3,AB54=$V$4),"UK / EU","Outside UK / EU"))</f>
        <v>Please complete W.6.d</v>
      </c>
      <c r="AF54" s="340"/>
      <c r="AG54" s="340"/>
      <c r="AH54" s="340"/>
      <c r="AI54" s="340"/>
      <c r="AJ54" s="340"/>
      <c r="AL54" s="340"/>
      <c r="AM54" s="340"/>
      <c r="AN54" s="340"/>
      <c r="AO54" s="340"/>
      <c r="AP54" s="340"/>
      <c r="AS54" s="106">
        <f t="shared" si="0"/>
        <v>0</v>
      </c>
      <c r="AT54" s="106" t="str">
        <f>IF(AS54=0,"",SUM($AS$11:$AS54))</f>
        <v/>
      </c>
      <c r="AU54" t="str">
        <f>IF(AV54="","",N13)</f>
        <v/>
      </c>
      <c r="AV54" t="str">
        <f>IF(AND($AV$50=TRUE,Q13=TRUE),"Children","")</f>
        <v/>
      </c>
      <c r="AW54" s="97">
        <v>2</v>
      </c>
      <c r="AX54" t="s">
        <v>159</v>
      </c>
      <c r="AY54" t="s">
        <v>319</v>
      </c>
      <c r="AZ54" t="s">
        <v>159</v>
      </c>
      <c r="BA54" s="104" t="s">
        <v>165</v>
      </c>
      <c r="BB54" t="s">
        <v>136</v>
      </c>
      <c r="BC54" t="s">
        <v>678</v>
      </c>
      <c r="BD54" t="s">
        <v>853</v>
      </c>
      <c r="BE54" s="224" t="s">
        <v>537</v>
      </c>
      <c r="BG54" t="str">
        <f t="shared" si="12"/>
        <v>Please complete W.4.c</v>
      </c>
      <c r="BH54" t="str">
        <f t="shared" si="2"/>
        <v/>
      </c>
      <c r="BI54" t="str">
        <f t="shared" si="13"/>
        <v>Please complete W.4.d</v>
      </c>
      <c r="BJ54" t="str">
        <f t="shared" si="4"/>
        <v/>
      </c>
    </row>
    <row r="55" spans="2:62">
      <c r="B55" s="340"/>
      <c r="C55" s="102" t="s">
        <v>308</v>
      </c>
      <c r="D55" s="134" t="b">
        <f>IF(E15="Outsourced", TRUE,FALSE)</f>
        <v>0</v>
      </c>
      <c r="E55" s="340"/>
      <c r="F55" s="340"/>
      <c r="G55" t="s">
        <v>172</v>
      </c>
      <c r="H55" s="340"/>
      <c r="I55" s="340"/>
      <c r="J55" s="340"/>
      <c r="K55" s="340"/>
      <c r="L55" s="340"/>
      <c r="M55" t="s">
        <v>468</v>
      </c>
      <c r="N55" s="340"/>
      <c r="O55" s="340"/>
      <c r="P55" s="340"/>
      <c r="Q55" s="340"/>
      <c r="R55" s="340"/>
      <c r="T55" s="340"/>
      <c r="U55" s="102" t="s">
        <v>516</v>
      </c>
      <c r="V55" s="134" t="b">
        <f>IF('D - Data Collection'!H73="Yes",TRUE,FALSE)</f>
        <v>0</v>
      </c>
      <c r="W55" s="340"/>
      <c r="X55" s="340"/>
      <c r="Z55" s="340"/>
      <c r="AA55" s="102" t="s">
        <v>752</v>
      </c>
      <c r="AB55" s="343" t="str">
        <f>'W - Worfklow'!H68</f>
        <v>Please Select:</v>
      </c>
      <c r="AC55" s="343" t="str">
        <f>'W - Worfklow'!N68</f>
        <v>W.6.e</v>
      </c>
      <c r="AD55" s="343" t="str">
        <f>IF(AB55="Please select:","Please complete "&amp;AC55,AB55)</f>
        <v>Please complete W.6.e</v>
      </c>
      <c r="AF55" s="340"/>
      <c r="AG55" s="340"/>
      <c r="AH55" s="340"/>
      <c r="AI55" s="340"/>
      <c r="AJ55" s="340"/>
      <c r="AL55" s="340"/>
      <c r="AM55" s="340"/>
      <c r="AN55" s="340"/>
      <c r="AO55" s="340"/>
      <c r="AP55" s="340"/>
      <c r="AS55" s="106">
        <f t="shared" si="0"/>
        <v>0</v>
      </c>
      <c r="AT55" s="106" t="str">
        <f>IF(AS55=0,"",SUM($AS$11:$AS55))</f>
        <v/>
      </c>
      <c r="AU55" t="str">
        <f>IF(AV55="","",N15)</f>
        <v/>
      </c>
      <c r="AV55" t="str">
        <f>IF(AND($AV$50=TRUE,Q15=TRUE),"Guardian Contact Details","")</f>
        <v/>
      </c>
      <c r="AW55" s="97">
        <v>2</v>
      </c>
      <c r="AX55" t="s">
        <v>159</v>
      </c>
      <c r="AY55" t="s">
        <v>319</v>
      </c>
      <c r="AZ55" t="s">
        <v>159</v>
      </c>
      <c r="BA55" s="104" t="s">
        <v>165</v>
      </c>
      <c r="BB55" t="s">
        <v>136</v>
      </c>
      <c r="BC55" t="s">
        <v>678</v>
      </c>
      <c r="BD55" t="s">
        <v>853</v>
      </c>
      <c r="BE55" s="224" t="s">
        <v>542</v>
      </c>
      <c r="BF55" s="224"/>
      <c r="BG55" t="str">
        <f t="shared" si="12"/>
        <v>Please complete W.4.c</v>
      </c>
      <c r="BH55" t="str">
        <f t="shared" si="2"/>
        <v/>
      </c>
      <c r="BI55" t="str">
        <f t="shared" si="13"/>
        <v>Please complete W.4.d</v>
      </c>
      <c r="BJ55" t="str">
        <f t="shared" si="4"/>
        <v/>
      </c>
    </row>
    <row r="56" spans="2:62">
      <c r="B56" s="340"/>
      <c r="C56" s="102" t="s">
        <v>309</v>
      </c>
      <c r="D56" s="134" t="b">
        <f>E20</f>
        <v>0</v>
      </c>
      <c r="E56" s="340"/>
      <c r="F56" s="340"/>
      <c r="G56" t="s">
        <v>172</v>
      </c>
      <c r="H56" s="340"/>
      <c r="I56" s="340"/>
      <c r="J56" s="340"/>
      <c r="K56" s="340"/>
      <c r="L56" s="340"/>
      <c r="M56" t="s">
        <v>468</v>
      </c>
      <c r="N56" s="340"/>
      <c r="O56" s="340"/>
      <c r="P56" s="340"/>
      <c r="Q56" s="340"/>
      <c r="R56" s="340"/>
      <c r="T56" s="340"/>
      <c r="U56" s="340"/>
      <c r="V56" s="340"/>
      <c r="W56" s="340"/>
      <c r="X56" s="340"/>
      <c r="Z56" s="340"/>
      <c r="AA56" s="340"/>
      <c r="AB56" s="340"/>
      <c r="AC56" s="340"/>
      <c r="AD56" s="340"/>
      <c r="AF56" s="340"/>
      <c r="AG56" s="340"/>
      <c r="AH56" s="340"/>
      <c r="AI56" s="340"/>
      <c r="AJ56" s="340"/>
      <c r="AL56" s="340"/>
      <c r="AM56" s="340"/>
      <c r="AN56" s="340"/>
      <c r="AO56" s="340"/>
      <c r="AP56" s="340"/>
      <c r="AS56" s="106">
        <f t="shared" si="0"/>
        <v>0</v>
      </c>
      <c r="AT56" s="106" t="str">
        <f>IF(AS56=0,"",SUM($AS$11:$AS56))</f>
        <v/>
      </c>
      <c r="AU56" t="str">
        <f>IF(AV56="","",N16)</f>
        <v/>
      </c>
      <c r="AV56" t="str">
        <f>IF(AND($AV$50=TRUE,Q16=TRUE),"Treatment Records","")</f>
        <v/>
      </c>
      <c r="AW56" s="97">
        <v>3</v>
      </c>
      <c r="AX56" t="s">
        <v>159</v>
      </c>
      <c r="AY56" t="s">
        <v>319</v>
      </c>
      <c r="AZ56" t="s">
        <v>159</v>
      </c>
      <c r="BA56" s="104" t="s">
        <v>165</v>
      </c>
      <c r="BB56" t="s">
        <v>160</v>
      </c>
      <c r="BC56" t="s">
        <v>678</v>
      </c>
      <c r="BD56" t="s">
        <v>866</v>
      </c>
      <c r="BE56" s="224" t="s">
        <v>537</v>
      </c>
      <c r="BF56" s="224" t="s">
        <v>541</v>
      </c>
      <c r="BG56" t="str">
        <f t="shared" si="12"/>
        <v>Please complete W.4.c</v>
      </c>
      <c r="BH56" t="str">
        <f t="shared" si="2"/>
        <v>Yes(1)</v>
      </c>
      <c r="BI56" t="str">
        <f t="shared" si="13"/>
        <v>Please complete W.4.d</v>
      </c>
      <c r="BJ56" t="str">
        <f t="shared" si="4"/>
        <v/>
      </c>
    </row>
    <row r="57" spans="2:62">
      <c r="B57" s="340"/>
      <c r="C57" s="340"/>
      <c r="D57" s="340"/>
      <c r="E57" s="340"/>
      <c r="F57" s="340"/>
      <c r="G57" t="s">
        <v>172</v>
      </c>
      <c r="H57" s="340"/>
      <c r="I57" s="340"/>
      <c r="J57" s="340"/>
      <c r="K57" s="340"/>
      <c r="L57" s="340"/>
      <c r="M57" t="s">
        <v>468</v>
      </c>
      <c r="N57" s="340"/>
      <c r="O57" s="340"/>
      <c r="P57" s="340"/>
      <c r="Q57" s="340"/>
      <c r="R57" s="340"/>
      <c r="T57" s="340"/>
      <c r="U57" s="102" t="s">
        <v>686</v>
      </c>
      <c r="V57" s="343" t="str">
        <f>'W - Worfklow'!H60</f>
        <v>Acme Bank Inc.</v>
      </c>
      <c r="W57" s="340"/>
      <c r="X57" s="340"/>
      <c r="Z57" s="340"/>
      <c r="AA57" s="340"/>
      <c r="AB57" s="340"/>
      <c r="AC57" s="340"/>
      <c r="AD57" s="340"/>
      <c r="AF57" s="340"/>
      <c r="AG57" s="340"/>
      <c r="AH57" s="340"/>
      <c r="AI57" s="340"/>
      <c r="AJ57" s="340"/>
      <c r="AL57" s="340"/>
      <c r="AM57" s="340"/>
      <c r="AN57" s="340"/>
      <c r="AO57" s="340"/>
      <c r="AP57" s="340"/>
      <c r="AS57" s="106">
        <f t="shared" si="0"/>
        <v>0</v>
      </c>
      <c r="AT57" s="106" t="str">
        <f>IF(AS57=0,"",SUM($AS$11:$AS57))</f>
        <v/>
      </c>
      <c r="AU57" t="str">
        <f>IF(AV57="","",N18)</f>
        <v/>
      </c>
      <c r="AV57" t="str">
        <f>IF(AND($AV$50=TRUE,Q17&lt;&gt;"Please Select:"),Q18,"")</f>
        <v/>
      </c>
      <c r="AW57" s="97" t="str">
        <f>_xlfn.IFNA(VLOOKUP(Q17,$AV$3:$AW$6,2,FALSE),"")</f>
        <v/>
      </c>
      <c r="AX57" t="s">
        <v>174</v>
      </c>
      <c r="AY57" t="s">
        <v>319</v>
      </c>
      <c r="AZ57" t="s">
        <v>174</v>
      </c>
      <c r="BA57" t="s">
        <v>174</v>
      </c>
      <c r="BB57" t="s">
        <v>174</v>
      </c>
      <c r="BC57" t="s">
        <v>678</v>
      </c>
      <c r="BE57" t="s">
        <v>174</v>
      </c>
      <c r="BF57" t="str">
        <f>IF(Q17=$AV$5,"Please Complete","")</f>
        <v/>
      </c>
      <c r="BG57" t="s">
        <v>174</v>
      </c>
      <c r="BH57" t="str">
        <f t="shared" si="2"/>
        <v/>
      </c>
      <c r="BI57" t="s">
        <v>174</v>
      </c>
      <c r="BJ57" t="str">
        <f t="shared" si="4"/>
        <v/>
      </c>
    </row>
    <row r="58" spans="2:62">
      <c r="B58" s="340"/>
      <c r="C58" s="102" t="s">
        <v>149</v>
      </c>
      <c r="D58" s="343" t="str">
        <f>IF(E13="Outsourced",'W - Worfklow'!H37,"HMRC")</f>
        <v>HMRC</v>
      </c>
      <c r="E58" s="340"/>
      <c r="F58" s="340"/>
      <c r="G58" t="s">
        <v>172</v>
      </c>
      <c r="H58" s="340"/>
      <c r="I58" s="102" t="s">
        <v>313</v>
      </c>
      <c r="J58" s="340"/>
      <c r="K58" s="340"/>
      <c r="L58" s="340"/>
      <c r="M58" t="s">
        <v>468</v>
      </c>
      <c r="N58" s="340"/>
      <c r="O58" s="340"/>
      <c r="P58" s="340"/>
      <c r="Q58" s="340"/>
      <c r="R58" s="340"/>
      <c r="T58" s="340"/>
      <c r="U58" s="102" t="s">
        <v>312</v>
      </c>
      <c r="V58" s="343" t="str">
        <f>'W - Worfklow'!H59</f>
        <v>Acme Gift Aid Ltd.</v>
      </c>
      <c r="W58" s="340"/>
      <c r="X58" s="340"/>
      <c r="Z58" s="340"/>
      <c r="AA58" s="340"/>
      <c r="AB58" s="340"/>
      <c r="AC58" s="340"/>
      <c r="AD58" s="340"/>
      <c r="AF58" s="340"/>
      <c r="AG58" s="340"/>
      <c r="AH58" s="340"/>
      <c r="AI58" s="340"/>
      <c r="AJ58" s="340"/>
      <c r="AL58" s="340"/>
      <c r="AM58" s="340"/>
      <c r="AN58" s="340"/>
      <c r="AO58" s="340"/>
      <c r="AP58" s="340"/>
      <c r="AT58" s="106" t="str">
        <f>IF(AS58=0,"",SUM($AS$11:$AS58))</f>
        <v/>
      </c>
      <c r="AU58" s="110" t="s">
        <v>154</v>
      </c>
      <c r="AV58" s="105" t="b">
        <f>IF(W9="Yes", TRUE,FALSE)</f>
        <v>0</v>
      </c>
      <c r="BH58" t="str">
        <f t="shared" si="2"/>
        <v/>
      </c>
      <c r="BJ58" t="str">
        <f t="shared" si="4"/>
        <v/>
      </c>
    </row>
    <row r="59" spans="2:62">
      <c r="B59" s="340"/>
      <c r="C59" s="102" t="s">
        <v>152</v>
      </c>
      <c r="D59" s="343" t="str">
        <f>IF(E15="Outsourced",'W - Worfklow'!H38,"HMRC")</f>
        <v>HMRC</v>
      </c>
      <c r="E59" s="340"/>
      <c r="F59" s="340"/>
      <c r="G59" t="s">
        <v>172</v>
      </c>
      <c r="H59" s="340"/>
      <c r="I59" s="340"/>
      <c r="J59" s="340"/>
      <c r="K59" s="340"/>
      <c r="L59" s="340"/>
      <c r="M59" t="s">
        <v>468</v>
      </c>
      <c r="N59" s="340"/>
      <c r="O59" s="340"/>
      <c r="P59" s="340"/>
      <c r="Q59" s="340"/>
      <c r="R59" s="340"/>
      <c r="T59" s="340"/>
      <c r="U59" s="102" t="s">
        <v>518</v>
      </c>
      <c r="V59" s="343" t="str">
        <f>'W - Worfklow'!H61</f>
        <v>Acme Legal Eagles</v>
      </c>
      <c r="W59" s="340"/>
      <c r="X59" s="340"/>
      <c r="Z59" s="340"/>
      <c r="AA59" s="340"/>
      <c r="AB59" s="340"/>
      <c r="AC59" s="340"/>
      <c r="AD59" s="340"/>
      <c r="AF59" s="340"/>
      <c r="AG59" s="340"/>
      <c r="AH59" s="340"/>
      <c r="AI59" s="340"/>
      <c r="AJ59" s="340"/>
      <c r="AL59" s="340"/>
      <c r="AM59" s="340"/>
      <c r="AN59" s="340"/>
      <c r="AO59" s="340"/>
      <c r="AP59" s="340"/>
      <c r="AS59" s="106">
        <f t="shared" si="0"/>
        <v>0</v>
      </c>
      <c r="AT59" s="106" t="str">
        <f>IF(AS59=0,"",SUM($AS$11:$AS59))</f>
        <v/>
      </c>
      <c r="AU59" t="str">
        <f>IF(AV59="","",T10)</f>
        <v/>
      </c>
      <c r="AV59" t="str">
        <f>IF(AND($AV$58=TRUE,W10=TRUE),"Donor Contact Details","")</f>
        <v/>
      </c>
      <c r="AW59" s="97">
        <v>2</v>
      </c>
      <c r="AX59" t="s">
        <v>155</v>
      </c>
      <c r="AY59" t="s">
        <v>154</v>
      </c>
      <c r="AZ59" t="s">
        <v>157</v>
      </c>
      <c r="BB59" t="s">
        <v>136</v>
      </c>
      <c r="BC59" t="s">
        <v>679</v>
      </c>
      <c r="BD59" t="s">
        <v>869</v>
      </c>
      <c r="BE59" s="224" t="s">
        <v>537</v>
      </c>
      <c r="BG59" t="str">
        <f>DAWorkings!X50</f>
        <v>Please complete W.5.b</v>
      </c>
      <c r="BH59" t="str">
        <f t="shared" si="2"/>
        <v/>
      </c>
      <c r="BI59" t="str">
        <f>$X$52</f>
        <v>Please complete W.5.d</v>
      </c>
      <c r="BJ59" t="str">
        <f t="shared" si="4"/>
        <v/>
      </c>
    </row>
    <row r="60" spans="2:62">
      <c r="B60" s="340"/>
      <c r="C60" s="102" t="s">
        <v>305</v>
      </c>
      <c r="D60" s="343" t="str">
        <f>'W - Worfklow'!H39</f>
        <v>Acme DBS Ltd.</v>
      </c>
      <c r="E60" s="340"/>
      <c r="F60" s="340"/>
      <c r="G60" t="s">
        <v>172</v>
      </c>
      <c r="H60" s="340"/>
      <c r="I60" s="340"/>
      <c r="J60" s="340"/>
      <c r="K60" s="340"/>
      <c r="L60" s="340"/>
      <c r="M60" t="s">
        <v>468</v>
      </c>
      <c r="N60" s="340"/>
      <c r="O60" s="340"/>
      <c r="P60" s="340"/>
      <c r="Q60" s="340"/>
      <c r="R60" s="340"/>
      <c r="T60" s="340"/>
      <c r="U60" s="340"/>
      <c r="V60" s="340"/>
      <c r="W60" s="340"/>
      <c r="X60" s="340"/>
      <c r="Z60" s="340"/>
      <c r="AA60" s="340"/>
      <c r="AB60" s="340"/>
      <c r="AC60" s="340"/>
      <c r="AD60" s="340"/>
      <c r="AF60" s="340"/>
      <c r="AG60" s="340"/>
      <c r="AH60" s="340"/>
      <c r="AI60" s="340"/>
      <c r="AJ60" s="340"/>
      <c r="AL60" s="340"/>
      <c r="AM60" s="340"/>
      <c r="AN60" s="340"/>
      <c r="AO60" s="340"/>
      <c r="AP60" s="340"/>
      <c r="AS60" s="106">
        <f t="shared" si="0"/>
        <v>0</v>
      </c>
      <c r="AT60" s="106" t="str">
        <f>IF(AS60=0,"",SUM($AS$11:$AS60))</f>
        <v/>
      </c>
      <c r="AU60" t="str">
        <f>IF(AV60="","",T11)</f>
        <v/>
      </c>
      <c r="AV60" t="str">
        <f>IF(AND($AV$58=TRUE,W11=TRUE),"Marketing Consent","")</f>
        <v/>
      </c>
      <c r="AW60" s="97">
        <v>2</v>
      </c>
      <c r="AX60" t="s">
        <v>158</v>
      </c>
      <c r="AY60" t="s">
        <v>154</v>
      </c>
      <c r="AZ60" t="s">
        <v>158</v>
      </c>
      <c r="BB60" t="s">
        <v>136</v>
      </c>
      <c r="BC60" t="s">
        <v>679</v>
      </c>
      <c r="BD60" t="s">
        <v>869</v>
      </c>
      <c r="BE60" s="224" t="s">
        <v>537</v>
      </c>
      <c r="BG60" t="str">
        <f>$X$51</f>
        <v>Please complete W.5.c</v>
      </c>
      <c r="BH60" t="str">
        <f t="shared" si="2"/>
        <v/>
      </c>
      <c r="BI60" t="str">
        <f t="shared" ref="BI60:BI64" si="14">$X$52</f>
        <v>Please complete W.5.d</v>
      </c>
      <c r="BJ60" t="str">
        <f t="shared" si="4"/>
        <v/>
      </c>
    </row>
    <row r="61" spans="2:62">
      <c r="B61" s="340"/>
      <c r="C61" s="102" t="s">
        <v>801</v>
      </c>
      <c r="D61" s="341" t="str">
        <f>IF(F51="Outside UK / EU",E51&amp;", ","")&amp;IF(F52="Outside UK / EU",E52&amp;", ","")</f>
        <v/>
      </c>
      <c r="E61" s="340"/>
      <c r="F61" s="340"/>
      <c r="H61" s="340"/>
      <c r="I61" s="102" t="s">
        <v>801</v>
      </c>
      <c r="J61" s="343" t="str">
        <f>IF(L51="Outside UK / EU",K51&amp;", ","")&amp;IF(L52="Outside UK / EU",K52&amp;", ","")</f>
        <v/>
      </c>
      <c r="K61" s="340"/>
      <c r="L61" s="340"/>
      <c r="N61" s="340"/>
      <c r="O61" s="102" t="s">
        <v>801</v>
      </c>
      <c r="P61" s="343" t="str">
        <f>IF(R51="Outside UK / EU",Q51&amp;", ","")&amp;IF(R52="Outside UK / EU",Q52&amp;", ","")</f>
        <v/>
      </c>
      <c r="Q61" s="340"/>
      <c r="R61" s="340"/>
      <c r="T61" s="340"/>
      <c r="U61" s="102" t="s">
        <v>801</v>
      </c>
      <c r="V61" s="343" t="str">
        <f>IF(X51="Outside UK / EU",W51&amp;", ","")&amp;IF(X52="Outside UK / EU",W52&amp;", ","")</f>
        <v/>
      </c>
      <c r="W61" s="340"/>
      <c r="X61" s="340"/>
      <c r="Z61" s="340"/>
      <c r="AA61" s="102" t="s">
        <v>801</v>
      </c>
      <c r="AB61" s="343" t="str">
        <f>IF(AD52="Outside UK / EU",AC52&amp;", ","")&amp;IF(AD54="Outside UK / EU",AC54&amp;", ","")</f>
        <v/>
      </c>
      <c r="AC61" s="340"/>
      <c r="AD61" s="340"/>
      <c r="AF61" s="340"/>
      <c r="AG61" s="102" t="s">
        <v>801</v>
      </c>
      <c r="AH61" s="343" t="str">
        <f>IF(AJ49="Outside UK / EU",AI49&amp;", ","")</f>
        <v/>
      </c>
      <c r="AI61" s="340"/>
      <c r="AJ61" s="340"/>
      <c r="AL61" s="340"/>
      <c r="AM61" s="340"/>
      <c r="AN61" s="340"/>
      <c r="AO61" s="340"/>
      <c r="AP61" s="340"/>
      <c r="AS61" s="106">
        <f t="shared" si="0"/>
        <v>0</v>
      </c>
      <c r="AT61" s="106" t="str">
        <f>IF(AS61=0,"",SUM($AS$11:$AS61))</f>
        <v/>
      </c>
      <c r="AU61" t="str">
        <f>IF(AV61="","",T12)</f>
        <v/>
      </c>
      <c r="AV61" t="str">
        <f>IF(AND($AV$58=TRUE,W12="Yes"),"Debit / Credit Card","")</f>
        <v/>
      </c>
      <c r="AW61" s="97">
        <v>2</v>
      </c>
      <c r="AX61" t="s">
        <v>128</v>
      </c>
      <c r="AY61" t="s">
        <v>154</v>
      </c>
      <c r="AZ61" t="s">
        <v>157</v>
      </c>
      <c r="BA61" s="104" t="str">
        <f>IF(V53=TRUE,V57,"")</f>
        <v/>
      </c>
      <c r="BB61" t="s">
        <v>136</v>
      </c>
      <c r="BC61" t="str">
        <f>IF(V53=TRUE,"Donor / Processor Systems","Donor Systems")</f>
        <v>Donor Systems</v>
      </c>
      <c r="BD61" t="s">
        <v>869</v>
      </c>
      <c r="BE61" s="224" t="s">
        <v>536</v>
      </c>
      <c r="BG61" t="str">
        <f t="shared" ref="BG61:BG64" si="15">$X$51</f>
        <v>Please complete W.5.c</v>
      </c>
      <c r="BH61" t="str">
        <f t="shared" si="2"/>
        <v/>
      </c>
      <c r="BI61" t="str">
        <f t="shared" si="14"/>
        <v>Please complete W.5.d</v>
      </c>
      <c r="BJ61" t="str">
        <f t="shared" si="4"/>
        <v/>
      </c>
    </row>
    <row r="62" spans="2:62">
      <c r="AS62" s="106">
        <f t="shared" si="0"/>
        <v>0</v>
      </c>
      <c r="AT62" s="106" t="str">
        <f>IF(AS62=0,"",SUM($AS$11:$AS62))</f>
        <v/>
      </c>
      <c r="AU62" t="str">
        <f>IF(AV62="","",T13)</f>
        <v/>
      </c>
      <c r="AV62" t="str">
        <f>IF(AND($AV$58=TRUE,W13="Yes"),"Direct Debit","")</f>
        <v/>
      </c>
      <c r="AW62" s="97">
        <v>2</v>
      </c>
      <c r="AX62" t="s">
        <v>128</v>
      </c>
      <c r="AY62" t="s">
        <v>154</v>
      </c>
      <c r="AZ62" t="s">
        <v>157</v>
      </c>
      <c r="BB62" t="s">
        <v>136</v>
      </c>
      <c r="BC62" t="s">
        <v>681</v>
      </c>
      <c r="BD62" t="s">
        <v>869</v>
      </c>
      <c r="BE62" s="224" t="s">
        <v>536</v>
      </c>
      <c r="BG62" t="str">
        <f t="shared" si="15"/>
        <v>Please complete W.5.c</v>
      </c>
      <c r="BH62" t="str">
        <f t="shared" si="2"/>
        <v/>
      </c>
      <c r="BI62" t="str">
        <f t="shared" si="14"/>
        <v>Please complete W.5.d</v>
      </c>
      <c r="BJ62" t="str">
        <f t="shared" si="4"/>
        <v/>
      </c>
    </row>
    <row r="63" spans="2:62">
      <c r="AG63" s="107"/>
      <c r="AH63" s="107"/>
      <c r="AI63" s="107"/>
      <c r="AK63" s="107"/>
      <c r="AL63" s="107"/>
      <c r="AM63" s="107"/>
      <c r="AO63" s="107"/>
      <c r="AP63" s="107"/>
      <c r="AQ63" s="107"/>
      <c r="AS63" s="106">
        <f t="shared" si="0"/>
        <v>0</v>
      </c>
      <c r="AT63" s="106" t="str">
        <f>IF(AS63=0,"",SUM($AS$11:$AS63))</f>
        <v/>
      </c>
      <c r="AU63" t="str">
        <f>IF(AV63="","",T15)</f>
        <v/>
      </c>
      <c r="AV63" t="str">
        <f>IF(AND($AV$58=TRUE,W15=TRUE),"Gift Aid","")</f>
        <v/>
      </c>
      <c r="AW63" s="97">
        <v>2</v>
      </c>
      <c r="AX63" t="s">
        <v>128</v>
      </c>
      <c r="AY63" t="s">
        <v>154</v>
      </c>
      <c r="AZ63" t="s">
        <v>157</v>
      </c>
      <c r="BA63" s="104" t="str">
        <f>IF(V54=TRUE,V58,"")</f>
        <v/>
      </c>
      <c r="BB63" t="s">
        <v>136</v>
      </c>
      <c r="BC63" t="str">
        <f>IF(V54=TRUE,"Donor / Processor Systems","Donor Systems")</f>
        <v>Donor Systems</v>
      </c>
      <c r="BD63" t="s">
        <v>850</v>
      </c>
      <c r="BE63" s="224" t="s">
        <v>536</v>
      </c>
      <c r="BG63" t="str">
        <f t="shared" si="15"/>
        <v>Please complete W.5.c</v>
      </c>
      <c r="BH63" t="str">
        <f t="shared" si="2"/>
        <v/>
      </c>
      <c r="BI63" t="str">
        <f t="shared" si="14"/>
        <v>Please complete W.5.d</v>
      </c>
      <c r="BJ63" t="str">
        <f t="shared" si="4"/>
        <v/>
      </c>
    </row>
    <row r="64" spans="2:62">
      <c r="B64" s="344" t="s">
        <v>333</v>
      </c>
      <c r="C64" s="328"/>
      <c r="D64" s="328"/>
      <c r="E64" s="344" t="s">
        <v>338</v>
      </c>
      <c r="F64" s="328"/>
      <c r="H64" s="143" t="s">
        <v>340</v>
      </c>
      <c r="I64" s="345"/>
      <c r="J64" s="191" t="s">
        <v>341</v>
      </c>
      <c r="K64" s="140">
        <f>MAX(B66:B80)+1</f>
        <v>1</v>
      </c>
      <c r="L64" s="345"/>
      <c r="N64" s="344" t="s">
        <v>343</v>
      </c>
      <c r="O64" s="328"/>
      <c r="P64" s="328"/>
      <c r="Q64" s="328"/>
      <c r="R64" s="328"/>
      <c r="S64" s="328"/>
      <c r="T64" s="328"/>
      <c r="U64" s="328"/>
      <c r="V64" s="328"/>
      <c r="W64" s="328"/>
      <c r="X64" s="328"/>
      <c r="Y64" s="328"/>
      <c r="Z64" s="328"/>
      <c r="AF64" s="330"/>
      <c r="AG64" s="330"/>
      <c r="AH64" s="330"/>
      <c r="AI64" s="330"/>
      <c r="AK64" s="330"/>
      <c r="AL64" s="330"/>
      <c r="AM64" s="330"/>
      <c r="AO64" s="330"/>
      <c r="AP64" s="330"/>
      <c r="AQ64" s="330"/>
      <c r="AS64" s="106">
        <f t="shared" si="0"/>
        <v>0</v>
      </c>
      <c r="AT64" s="106" t="str">
        <f>IF(AS64=0,"",SUM($AS$11:$AS64))</f>
        <v/>
      </c>
      <c r="AU64" t="str">
        <f>IF(AV64="","",T19)</f>
        <v/>
      </c>
      <c r="AV64" t="str">
        <f>IF(AND($AV$58=TRUE,W17="Yes"),"Legacy Will","")</f>
        <v/>
      </c>
      <c r="AW64" s="97">
        <v>2</v>
      </c>
      <c r="AX64" t="s">
        <v>156</v>
      </c>
      <c r="AY64" t="s">
        <v>154</v>
      </c>
      <c r="AZ64" t="s">
        <v>157</v>
      </c>
      <c r="BA64" s="104" t="str">
        <f>IF(V55=TRUE,V59,"")</f>
        <v/>
      </c>
      <c r="BB64" t="s">
        <v>136</v>
      </c>
      <c r="BC64" t="str">
        <f>IF(V55=TRUE,"Donor / Processor Systems","Donor Systems")</f>
        <v>Donor Systems</v>
      </c>
      <c r="BD64" t="s">
        <v>871</v>
      </c>
      <c r="BE64" s="224" t="s">
        <v>537</v>
      </c>
      <c r="BG64" t="str">
        <f t="shared" si="15"/>
        <v>Please complete W.5.c</v>
      </c>
      <c r="BH64" t="str">
        <f t="shared" si="2"/>
        <v/>
      </c>
      <c r="BI64" t="str">
        <f t="shared" si="14"/>
        <v>Please complete W.5.d</v>
      </c>
      <c r="BJ64" t="str">
        <f t="shared" si="4"/>
        <v/>
      </c>
    </row>
    <row r="65" spans="2:62">
      <c r="B65" s="328" t="s">
        <v>339</v>
      </c>
      <c r="C65" s="328"/>
      <c r="D65" s="136"/>
      <c r="E65" s="141"/>
      <c r="F65" s="328"/>
      <c r="H65" s="142"/>
      <c r="I65" s="142" t="s">
        <v>14</v>
      </c>
      <c r="J65" s="345"/>
      <c r="K65" s="345"/>
      <c r="L65" s="345"/>
      <c r="N65" s="344" t="s">
        <v>139</v>
      </c>
      <c r="O65" s="144" t="s">
        <v>344</v>
      </c>
      <c r="P65" s="328"/>
      <c r="Q65" s="328"/>
      <c r="R65" s="328" t="s">
        <v>162</v>
      </c>
      <c r="S65" s="328"/>
      <c r="T65" s="328" t="s">
        <v>7</v>
      </c>
      <c r="U65" s="328"/>
      <c r="V65" s="328"/>
      <c r="W65" s="328"/>
      <c r="X65" s="328"/>
      <c r="Y65" s="328"/>
      <c r="Z65" s="328"/>
      <c r="AF65" s="330"/>
      <c r="AG65" s="331"/>
      <c r="AH65" s="331"/>
      <c r="AI65" s="331"/>
      <c r="AM65" s="331"/>
      <c r="AS65" s="106">
        <f t="shared" si="0"/>
        <v>0</v>
      </c>
      <c r="AT65" s="106" t="str">
        <f>IF(AS65=0,"",SUM($AS$11:$AS65))</f>
        <v/>
      </c>
      <c r="AU65" t="str">
        <f>IF(AV65="","",T18)</f>
        <v/>
      </c>
      <c r="AV65" t="str">
        <f>IF(AND($AV$58=TRUE,W18&lt;&gt;"Please Select:"),W19,"")</f>
        <v/>
      </c>
      <c r="AW65" s="97" t="str">
        <f>_xlfn.IFNA(VLOOKUP(W18,$AV$3:$AW$6,2,FALSE),"")</f>
        <v/>
      </c>
      <c r="AX65" t="s">
        <v>174</v>
      </c>
      <c r="AY65" t="s">
        <v>154</v>
      </c>
      <c r="AZ65" t="s">
        <v>174</v>
      </c>
      <c r="BA65" t="s">
        <v>174</v>
      </c>
      <c r="BB65" t="s">
        <v>174</v>
      </c>
      <c r="BC65" t="s">
        <v>679</v>
      </c>
      <c r="BE65" t="s">
        <v>174</v>
      </c>
      <c r="BF65" t="str">
        <f>IF(W18=$AV$5,"Please Complete","")</f>
        <v/>
      </c>
      <c r="BG65" t="s">
        <v>174</v>
      </c>
      <c r="BH65" t="str">
        <f t="shared" si="2"/>
        <v/>
      </c>
      <c r="BI65" t="s">
        <v>174</v>
      </c>
      <c r="BJ65" t="str">
        <f t="shared" si="4"/>
        <v/>
      </c>
    </row>
    <row r="66" spans="2:62">
      <c r="B66" s="278" t="str">
        <f>IF(F66=0,"",SUM($F$66:F66))</f>
        <v/>
      </c>
      <c r="C66" s="328"/>
      <c r="D66" s="136" t="s">
        <v>314</v>
      </c>
      <c r="E66" s="141" t="b">
        <v>0</v>
      </c>
      <c r="F66" s="328">
        <f>IF(E66=TRUE,1,0)</f>
        <v>0</v>
      </c>
      <c r="G66" t="str">
        <f>'P - Policy &amp; Procedures'!N19</f>
        <v>P.1.a</v>
      </c>
      <c r="H66" s="142"/>
      <c r="I66" s="142" t="str">
        <f>_xlfn.IFNA(VLOOKUP(ROW()-65,$B$66:$D$80,3,FALSE),"")</f>
        <v/>
      </c>
      <c r="J66" s="345"/>
      <c r="K66" s="345"/>
      <c r="L66" s="345"/>
      <c r="N66" s="328" t="s">
        <v>345</v>
      </c>
      <c r="O66" s="328" t="str">
        <f>IF(OR(E19=TRUE,K12=TRUE,Q12=TRUE,Q16=TRUE,D47=TRUE),"Health","")</f>
        <v/>
      </c>
      <c r="P66" s="328"/>
      <c r="Q66" s="328"/>
      <c r="R66" s="346"/>
      <c r="S66" s="328"/>
      <c r="T66" s="346"/>
      <c r="U66" s="328"/>
      <c r="V66" s="346"/>
      <c r="W66" s="328"/>
      <c r="X66" s="328"/>
      <c r="Y66" s="347" t="s">
        <v>349</v>
      </c>
      <c r="Z66" s="328"/>
      <c r="AF66" s="330"/>
      <c r="AG66" s="331"/>
      <c r="AH66" s="331"/>
      <c r="AI66" s="331"/>
      <c r="AM66" s="331"/>
      <c r="AT66" s="106" t="str">
        <f>IF(AS66=0,"",SUM($AS$11:$AS66))</f>
        <v/>
      </c>
      <c r="AU66" s="110" t="s">
        <v>165</v>
      </c>
      <c r="AV66" s="105" t="b">
        <f>IF(AC9="Yes", TRUE,FALSE)</f>
        <v>0</v>
      </c>
      <c r="BH66" t="str">
        <f t="shared" si="2"/>
        <v/>
      </c>
      <c r="BJ66" t="str">
        <f t="shared" si="4"/>
        <v/>
      </c>
    </row>
    <row r="67" spans="2:62">
      <c r="B67" s="278" t="str">
        <f>IF(F67=0,"",SUM($F$66:F67))</f>
        <v/>
      </c>
      <c r="C67" s="328"/>
      <c r="D67" s="136" t="s">
        <v>315</v>
      </c>
      <c r="E67" s="141" t="b">
        <v>0</v>
      </c>
      <c r="F67" s="328">
        <f t="shared" ref="F67:F80" si="16">IF(E67=TRUE,1,0)</f>
        <v>0</v>
      </c>
      <c r="G67" t="str">
        <f>'P - Policy &amp; Procedures'!N21</f>
        <v>P.1.b</v>
      </c>
      <c r="H67" s="142"/>
      <c r="I67" s="142" t="str">
        <f t="shared" ref="I67:I79" si="17">_xlfn.IFNA(VLOOKUP(ROW()-65,$B$66:$D$80,3,FALSE),"")</f>
        <v/>
      </c>
      <c r="J67" s="345"/>
      <c r="K67" s="345"/>
      <c r="L67" s="345"/>
      <c r="N67" s="328" t="s">
        <v>346</v>
      </c>
      <c r="O67" s="328" t="str">
        <f>IF(OR(E21=TRUE,K15=TRUE),"Ethnicity or diversity","")</f>
        <v/>
      </c>
      <c r="P67" s="328"/>
      <c r="Q67" s="328"/>
      <c r="R67" s="328"/>
      <c r="S67" s="328"/>
      <c r="T67" s="328"/>
      <c r="U67" s="328"/>
      <c r="V67" s="328"/>
      <c r="W67" s="328"/>
      <c r="X67" s="328"/>
      <c r="Y67" s="328"/>
      <c r="Z67" s="328"/>
      <c r="AF67" s="330"/>
      <c r="AG67" s="331"/>
      <c r="AH67" s="331"/>
      <c r="AI67" s="331"/>
      <c r="AM67" s="331"/>
      <c r="AS67" s="106">
        <f t="shared" si="0"/>
        <v>0</v>
      </c>
      <c r="AT67" s="106" t="str">
        <f>IF(AS67=0,"",SUM($AS$11:$AS67))</f>
        <v/>
      </c>
      <c r="AU67" t="str">
        <f>IF(AV67="","",Z10)</f>
        <v/>
      </c>
      <c r="AV67" t="str">
        <f>IF(AND($AV$66=TRUE,AC10=TRUE),"Practitioner Contact Details","")</f>
        <v/>
      </c>
      <c r="AW67" s="97">
        <v>2</v>
      </c>
      <c r="AX67" t="s">
        <v>159</v>
      </c>
      <c r="AY67" t="s">
        <v>165</v>
      </c>
      <c r="AZ67" t="s">
        <v>159</v>
      </c>
      <c r="BB67" t="s">
        <v>136</v>
      </c>
      <c r="BC67" t="s">
        <v>680</v>
      </c>
      <c r="BD67" t="s">
        <v>870</v>
      </c>
      <c r="BE67" s="224" t="s">
        <v>536</v>
      </c>
      <c r="BG67" t="str">
        <f>$AD$52</f>
        <v>Please complete W.6.b</v>
      </c>
      <c r="BH67" t="str">
        <f t="shared" si="2"/>
        <v/>
      </c>
      <c r="BI67" t="str">
        <f>$AD$55</f>
        <v>Please complete W.6.e</v>
      </c>
      <c r="BJ67" t="str">
        <f t="shared" si="4"/>
        <v/>
      </c>
    </row>
    <row r="68" spans="2:62">
      <c r="B68" s="278" t="str">
        <f>IF(F68=0,"",SUM($F$66:F68))</f>
        <v/>
      </c>
      <c r="C68" s="328"/>
      <c r="D68" s="136" t="s">
        <v>429</v>
      </c>
      <c r="E68" s="141" t="b">
        <v>0</v>
      </c>
      <c r="F68" s="328">
        <f t="shared" si="16"/>
        <v>0</v>
      </c>
      <c r="G68" t="str">
        <f>'P - Policy &amp; Procedures'!N23</f>
        <v>P.1.c</v>
      </c>
      <c r="H68" s="142"/>
      <c r="I68" s="142" t="str">
        <f t="shared" si="17"/>
        <v/>
      </c>
      <c r="J68" s="345"/>
      <c r="K68" s="345"/>
      <c r="L68" s="345"/>
      <c r="N68" s="328" t="s">
        <v>352</v>
      </c>
      <c r="O68" s="328" t="str">
        <f>IF(OR(E20=TRUE,K13=TRUE,AI10="yes"),"Criminal Records","")</f>
        <v/>
      </c>
      <c r="P68" s="328"/>
      <c r="Q68" s="328"/>
      <c r="R68" s="328"/>
      <c r="S68" s="328"/>
      <c r="T68" s="328"/>
      <c r="U68" s="328"/>
      <c r="V68" s="328"/>
      <c r="W68" s="328"/>
      <c r="X68" s="328"/>
      <c r="Y68" s="328"/>
      <c r="Z68" s="328"/>
      <c r="AF68" s="330"/>
      <c r="AG68" s="331"/>
      <c r="AH68" s="331"/>
      <c r="AI68" s="331"/>
      <c r="AM68" s="331"/>
      <c r="AS68" s="106">
        <f t="shared" si="0"/>
        <v>0</v>
      </c>
      <c r="AT68" s="106" t="str">
        <f>IF(AS68=0,"",SUM($AS$11:$AS68))</f>
        <v/>
      </c>
      <c r="AU68" t="str">
        <f>IF(AV68="","",Z11)</f>
        <v/>
      </c>
      <c r="AV68" t="str">
        <f>IF(AND($AV$66=TRUE,AC11=TRUE),"Accounting Details","")</f>
        <v/>
      </c>
      <c r="AW68" s="97">
        <v>2</v>
      </c>
      <c r="AX68" t="s">
        <v>128</v>
      </c>
      <c r="AY68" t="s">
        <v>165</v>
      </c>
      <c r="AZ68" t="s">
        <v>163</v>
      </c>
      <c r="BB68" t="s">
        <v>136</v>
      </c>
      <c r="BC68" t="s">
        <v>680</v>
      </c>
      <c r="BD68" t="s">
        <v>870</v>
      </c>
      <c r="BE68" s="224" t="s">
        <v>536</v>
      </c>
      <c r="BG68" t="str">
        <f t="shared" ref="BG68:BG72" si="18">$AD$52</f>
        <v>Please complete W.6.b</v>
      </c>
      <c r="BH68" t="str">
        <f t="shared" si="2"/>
        <v/>
      </c>
      <c r="BI68" t="str">
        <f t="shared" ref="BI68:BI72" si="19">$AD$55</f>
        <v>Please complete W.6.e</v>
      </c>
      <c r="BJ68" t="str">
        <f t="shared" si="4"/>
        <v/>
      </c>
    </row>
    <row r="69" spans="2:62">
      <c r="B69" s="278" t="str">
        <f>IF(F69=0,"",SUM($F$66:F69))</f>
        <v/>
      </c>
      <c r="C69" s="328"/>
      <c r="D69" s="136" t="s">
        <v>778</v>
      </c>
      <c r="E69" s="141" t="b">
        <v>0</v>
      </c>
      <c r="F69" s="328">
        <f t="shared" si="16"/>
        <v>0</v>
      </c>
      <c r="G69" t="str">
        <f>'P - Policy &amp; Procedures'!N25</f>
        <v>P.1.d</v>
      </c>
      <c r="H69" s="142"/>
      <c r="I69" s="142" t="str">
        <f t="shared" si="17"/>
        <v/>
      </c>
      <c r="J69" s="345"/>
      <c r="K69" s="345"/>
      <c r="L69" s="345"/>
      <c r="N69" s="328" t="s">
        <v>353</v>
      </c>
      <c r="O69" s="328" t="str">
        <f>IF(O66&lt;&gt;"",O66,"")&amp;IF(AND(O66&lt;&gt;"",O67&lt;&gt;"")," and ","")&amp;IF(O67&lt;&gt;"",O67,"")</f>
        <v/>
      </c>
      <c r="P69" s="328"/>
      <c r="Q69" s="346"/>
      <c r="R69" s="346"/>
      <c r="S69" s="346"/>
      <c r="T69" s="346"/>
      <c r="U69" s="328"/>
      <c r="V69" s="328"/>
      <c r="W69" s="328"/>
      <c r="X69" s="328"/>
      <c r="Y69" s="328"/>
      <c r="Z69" s="328"/>
      <c r="AF69" s="330"/>
      <c r="AG69" s="331"/>
      <c r="AH69" s="331"/>
      <c r="AI69" s="331"/>
      <c r="AM69" s="331"/>
      <c r="AS69" s="106">
        <f t="shared" si="0"/>
        <v>0</v>
      </c>
      <c r="AT69" s="106" t="str">
        <f>IF(AS69=0,"",SUM($AS$11:$AS69))</f>
        <v/>
      </c>
      <c r="AU69" t="str">
        <f>IF(AV69="","",Z12)</f>
        <v/>
      </c>
      <c r="AV69" t="str">
        <f>IF(AND($AV$66=TRUE,AC12=TRUE),"Skills or Qualifications","")</f>
        <v/>
      </c>
      <c r="AW69" s="97">
        <v>2</v>
      </c>
      <c r="AX69" t="s">
        <v>159</v>
      </c>
      <c r="AY69" t="s">
        <v>165</v>
      </c>
      <c r="AZ69" t="s">
        <v>159</v>
      </c>
      <c r="BB69" t="s">
        <v>136</v>
      </c>
      <c r="BC69" t="s">
        <v>680</v>
      </c>
      <c r="BD69" t="s">
        <v>870</v>
      </c>
      <c r="BE69" s="224" t="s">
        <v>536</v>
      </c>
      <c r="BG69" t="str">
        <f t="shared" si="18"/>
        <v>Please complete W.6.b</v>
      </c>
      <c r="BH69" t="str">
        <f t="shared" si="2"/>
        <v/>
      </c>
      <c r="BI69" t="str">
        <f t="shared" si="19"/>
        <v>Please complete W.6.e</v>
      </c>
      <c r="BJ69" t="str">
        <f t="shared" si="4"/>
        <v/>
      </c>
    </row>
    <row r="70" spans="2:62">
      <c r="B70" s="278" t="str">
        <f>IF(F70=0,"",SUM($F$66:F70))</f>
        <v/>
      </c>
      <c r="C70" s="328"/>
      <c r="D70" s="136" t="s">
        <v>334</v>
      </c>
      <c r="E70" s="141" t="b">
        <v>0</v>
      </c>
      <c r="F70" s="328">
        <f t="shared" si="16"/>
        <v>0</v>
      </c>
      <c r="G70" t="str">
        <f>'P - Policy &amp; Procedures'!N27</f>
        <v>P.1.e</v>
      </c>
      <c r="H70" s="142"/>
      <c r="I70" s="142" t="str">
        <f t="shared" si="17"/>
        <v/>
      </c>
      <c r="J70" s="345"/>
      <c r="K70" s="345"/>
      <c r="L70" s="345"/>
      <c r="N70" s="328"/>
      <c r="O70" s="328"/>
      <c r="P70" s="328"/>
      <c r="Q70" s="328"/>
      <c r="R70" s="328"/>
      <c r="S70" s="328"/>
      <c r="T70" s="328"/>
      <c r="U70" s="328"/>
      <c r="V70" s="328"/>
      <c r="W70" s="328"/>
      <c r="X70" s="328"/>
      <c r="Y70" s="328"/>
      <c r="Z70" s="328"/>
      <c r="AF70" s="330"/>
      <c r="AG70" s="331"/>
      <c r="AH70" s="331"/>
      <c r="AI70" s="331"/>
      <c r="AM70" s="331"/>
      <c r="AS70" s="106">
        <f t="shared" si="0"/>
        <v>0</v>
      </c>
      <c r="AT70" s="106" t="str">
        <f>IF(AS70=0,"",SUM($AS$11:$AS70))</f>
        <v/>
      </c>
      <c r="AU70" t="str">
        <f>IF(AV70="","",Z13)</f>
        <v/>
      </c>
      <c r="AV70" t="str">
        <f>IF(AND($AV$66=TRUE,AC13=TRUE),"Treatment Records","")</f>
        <v/>
      </c>
      <c r="AW70" s="97">
        <v>3</v>
      </c>
      <c r="AX70" t="s">
        <v>159</v>
      </c>
      <c r="AY70" t="s">
        <v>165</v>
      </c>
      <c r="AZ70" t="s">
        <v>159</v>
      </c>
      <c r="BA70" s="104" t="s">
        <v>165</v>
      </c>
      <c r="BB70" t="s">
        <v>160</v>
      </c>
      <c r="BC70" t="s">
        <v>680</v>
      </c>
      <c r="BD70" t="s">
        <v>870</v>
      </c>
      <c r="BE70" s="224" t="s">
        <v>536</v>
      </c>
      <c r="BF70" s="224" t="s">
        <v>541</v>
      </c>
      <c r="BG70" t="str">
        <f>AD54</f>
        <v>Please complete W.6.d</v>
      </c>
      <c r="BH70" t="str">
        <f t="shared" si="2"/>
        <v>Yes(1)</v>
      </c>
      <c r="BI70" t="str">
        <f t="shared" si="19"/>
        <v>Please complete W.6.e</v>
      </c>
      <c r="BJ70" t="str">
        <f t="shared" si="4"/>
        <v/>
      </c>
    </row>
    <row r="71" spans="2:62">
      <c r="B71" s="278" t="str">
        <f>IF(F71=0,"",SUM($F$66:F71))</f>
        <v/>
      </c>
      <c r="C71" s="328"/>
      <c r="D71" s="136" t="s">
        <v>415</v>
      </c>
      <c r="E71" s="141" t="b">
        <v>0</v>
      </c>
      <c r="F71" s="328">
        <f t="shared" si="16"/>
        <v>0</v>
      </c>
      <c r="G71" t="str">
        <f>'P - Policy &amp; Procedures'!N29</f>
        <v>P.1.f</v>
      </c>
      <c r="H71" s="142"/>
      <c r="I71" s="142" t="str">
        <f t="shared" si="17"/>
        <v/>
      </c>
      <c r="J71" s="345"/>
      <c r="K71" s="345"/>
      <c r="L71" s="345"/>
      <c r="N71" s="328"/>
      <c r="O71" s="328" t="str">
        <f>IF(AND(O66="",O67="",O68=""),O75,IF(OR(O66&lt;&gt;"",O67&lt;&gt;""),"As previously noted, the Charity is processing "&amp;O69&amp;" data and therefore should consider the actions as presented in the Appropriate Policy Document tab. "&amp;O73&amp;CHAR(10)&amp;"Please click on the Appropriate Policy Document button to fulfill any requirements concerning special category data.",IF(AND(O68&lt;&gt;"",O69=""),O73,"")))&amp;CHAR(10)&amp;IF(DAWorkings!J115=TRUE,DAWorkings!J116,DAWorkings!J117)</f>
        <v>From the responses provided the charity has no Special Category data.
From the responses provided there does not appear to be any international transfer of personal data outside of the European Economic Area (EAA) and therefore there is no requirements to complete a Data Transfer Impact Assessment (DTIA)</v>
      </c>
      <c r="P71" s="328"/>
      <c r="Q71" s="328"/>
      <c r="R71" s="328"/>
      <c r="S71" s="328"/>
      <c r="T71" s="328"/>
      <c r="U71" s="328"/>
      <c r="V71" s="328"/>
      <c r="W71" s="328"/>
      <c r="X71" s="328"/>
      <c r="Y71" s="328"/>
      <c r="Z71" s="328"/>
      <c r="AF71" s="330"/>
      <c r="AG71" s="331"/>
      <c r="AH71" s="331"/>
      <c r="AI71" s="331"/>
      <c r="AM71" s="331"/>
      <c r="AS71" s="106">
        <f t="shared" si="0"/>
        <v>0</v>
      </c>
      <c r="AT71" s="106" t="str">
        <f>IF(AS71=0,"",SUM($AS$11:$AS71))</f>
        <v/>
      </c>
      <c r="AU71" t="str">
        <f>IF(AV71="","",Z15)</f>
        <v/>
      </c>
      <c r="AV71" t="str">
        <f>IF(AND($AV$66=TRUE,AC15="Yes"),"Liability Insurance","")</f>
        <v/>
      </c>
      <c r="AW71" s="97">
        <v>2</v>
      </c>
      <c r="AX71" t="s">
        <v>156</v>
      </c>
      <c r="AY71" t="s">
        <v>165</v>
      </c>
      <c r="AZ71" t="s">
        <v>164</v>
      </c>
      <c r="BB71" t="s">
        <v>136</v>
      </c>
      <c r="BC71" t="s">
        <v>680</v>
      </c>
      <c r="BD71" t="s">
        <v>870</v>
      </c>
      <c r="BE71" s="224" t="s">
        <v>536</v>
      </c>
      <c r="BG71" t="str">
        <f t="shared" si="18"/>
        <v>Please complete W.6.b</v>
      </c>
      <c r="BH71" t="str">
        <f t="shared" si="2"/>
        <v/>
      </c>
      <c r="BI71" t="str">
        <f t="shared" si="19"/>
        <v>Please complete W.6.e</v>
      </c>
      <c r="BJ71" t="str">
        <f t="shared" si="4"/>
        <v/>
      </c>
    </row>
    <row r="72" spans="2:62">
      <c r="B72" s="278" t="str">
        <f>IF(F72=0,"",SUM($F$66:F72))</f>
        <v/>
      </c>
      <c r="C72" s="328"/>
      <c r="D72" s="136" t="s">
        <v>316</v>
      </c>
      <c r="E72" s="141" t="b">
        <v>0</v>
      </c>
      <c r="F72" s="328">
        <f t="shared" si="16"/>
        <v>0</v>
      </c>
      <c r="G72" t="str">
        <f>'P - Policy &amp; Procedures'!N31</f>
        <v>P.1.g</v>
      </c>
      <c r="H72" s="345"/>
      <c r="I72" s="142" t="str">
        <f t="shared" si="17"/>
        <v/>
      </c>
      <c r="J72" s="345"/>
      <c r="K72" s="345"/>
      <c r="L72" s="345"/>
      <c r="N72" s="328"/>
      <c r="O72" s="328" t="s">
        <v>644</v>
      </c>
      <c r="P72" s="328"/>
      <c r="Q72" s="328" t="s">
        <v>815</v>
      </c>
      <c r="R72" s="328" t="s">
        <v>645</v>
      </c>
      <c r="S72" s="328"/>
      <c r="T72" s="328"/>
      <c r="U72" s="328"/>
      <c r="V72" s="328"/>
      <c r="W72" s="328"/>
      <c r="X72" s="328"/>
      <c r="Y72" s="328"/>
      <c r="Z72" s="328"/>
      <c r="AS72" s="106">
        <f t="shared" si="0"/>
        <v>0</v>
      </c>
      <c r="AT72" s="106" t="str">
        <f>IF(AS72=0,"",SUM($AS$11:$AS72))</f>
        <v/>
      </c>
      <c r="AU72" t="str">
        <f>IF(AV72="","",Z16)</f>
        <v/>
      </c>
      <c r="AV72" t="str">
        <f>IF(AND($AV$66=TRUE,AC16="Yes"),"UK GDPR Compliant","")</f>
        <v/>
      </c>
      <c r="AW72" s="97">
        <v>1</v>
      </c>
      <c r="AX72" t="s">
        <v>156</v>
      </c>
      <c r="AY72" t="s">
        <v>165</v>
      </c>
      <c r="AZ72" t="s">
        <v>164</v>
      </c>
      <c r="BB72" t="s">
        <v>136</v>
      </c>
      <c r="BC72" t="s">
        <v>680</v>
      </c>
      <c r="BD72" t="s">
        <v>870</v>
      </c>
      <c r="BE72" s="224" t="s">
        <v>536</v>
      </c>
      <c r="BG72" t="str">
        <f t="shared" si="18"/>
        <v>Please complete W.6.b</v>
      </c>
      <c r="BH72" t="str">
        <f t="shared" si="2"/>
        <v/>
      </c>
      <c r="BI72" t="str">
        <f t="shared" si="19"/>
        <v>Please complete W.6.e</v>
      </c>
      <c r="BJ72" t="str">
        <f t="shared" si="4"/>
        <v/>
      </c>
    </row>
    <row r="73" spans="2:62">
      <c r="B73" s="278" t="str">
        <f>IF(F73=0,"",SUM($F$66:F73))</f>
        <v/>
      </c>
      <c r="C73" s="328"/>
      <c r="D73" s="136" t="s">
        <v>450</v>
      </c>
      <c r="E73" s="141" t="b">
        <v>0</v>
      </c>
      <c r="F73" s="328">
        <f t="shared" si="16"/>
        <v>0</v>
      </c>
      <c r="G73" t="str">
        <f>'P - Policy &amp; Procedures'!N33</f>
        <v>P.1.h</v>
      </c>
      <c r="H73" s="345"/>
      <c r="I73" s="142" t="str">
        <f t="shared" si="17"/>
        <v/>
      </c>
      <c r="J73" s="345"/>
      <c r="K73" s="345"/>
      <c r="L73" s="345"/>
      <c r="N73" s="328"/>
      <c r="O73" s="328" t="str">
        <f>IF(AND(O68="Criminal Records",OR(O66&lt;&gt;"",O67&lt;&gt;"")),O72&amp;R72,"")&amp;IF(AND(O66="",O67=""),Q72&amp;R72,"")</f>
        <v>It appears the charity may have criminal records processed as part of the DBS checks undertaken.</v>
      </c>
      <c r="P73" s="328"/>
      <c r="Q73" s="328"/>
      <c r="R73" s="328"/>
      <c r="S73" s="328"/>
      <c r="T73" s="328"/>
      <c r="U73" s="328"/>
      <c r="V73" s="328"/>
      <c r="W73" s="328"/>
      <c r="X73" s="328"/>
      <c r="Y73" s="328"/>
      <c r="Z73" s="328"/>
      <c r="AS73" s="106">
        <f t="shared" si="0"/>
        <v>0</v>
      </c>
      <c r="AT73" s="106" t="str">
        <f>IF(AS73=0,"",SUM($AS$11:$AS73))</f>
        <v/>
      </c>
      <c r="AV73" t="str">
        <f>IF(AND($AV$66=TRUE,AC17&lt;&gt;"Please Select:"),AC18,"")</f>
        <v/>
      </c>
      <c r="AW73" s="97" t="str">
        <f>_xlfn.IFNA(VLOOKUP(AC17,$AV$3:$AW$6,2,FALSE),"")</f>
        <v/>
      </c>
      <c r="AX73" t="s">
        <v>174</v>
      </c>
      <c r="AY73" t="s">
        <v>165</v>
      </c>
      <c r="AZ73" t="s">
        <v>174</v>
      </c>
      <c r="BA73" t="s">
        <v>174</v>
      </c>
      <c r="BB73" t="s">
        <v>174</v>
      </c>
      <c r="BC73" t="s">
        <v>680</v>
      </c>
      <c r="BE73" t="s">
        <v>174</v>
      </c>
      <c r="BF73" t="str">
        <f>IF(AC17=$AV$5,"Please Complete","")</f>
        <v/>
      </c>
      <c r="BG73" t="s">
        <v>174</v>
      </c>
      <c r="BH73" t="str">
        <f t="shared" si="2"/>
        <v/>
      </c>
      <c r="BI73" t="s">
        <v>174</v>
      </c>
      <c r="BJ73" t="str">
        <f t="shared" si="4"/>
        <v/>
      </c>
    </row>
    <row r="74" spans="2:62">
      <c r="B74" s="278" t="str">
        <f>IF(F74=0,"",SUM($F$66:F74))</f>
        <v/>
      </c>
      <c r="C74" s="328"/>
      <c r="D74" s="136" t="s">
        <v>369</v>
      </c>
      <c r="E74" s="141" t="b">
        <v>0</v>
      </c>
      <c r="F74" s="328">
        <f t="shared" si="16"/>
        <v>0</v>
      </c>
      <c r="G74" t="str">
        <f>'P - Policy &amp; Procedures'!N39</f>
        <v>P.2.a</v>
      </c>
      <c r="H74" s="345"/>
      <c r="I74" s="142" t="str">
        <f t="shared" si="17"/>
        <v/>
      </c>
      <c r="J74" s="345"/>
      <c r="K74" s="345"/>
      <c r="L74" s="345"/>
      <c r="N74" s="328"/>
      <c r="O74" s="328"/>
      <c r="P74" s="328"/>
      <c r="Q74" s="328"/>
      <c r="R74" s="328"/>
      <c r="S74" s="328"/>
      <c r="T74" s="328"/>
      <c r="U74" s="328"/>
      <c r="V74" s="328"/>
      <c r="W74" s="328"/>
      <c r="X74" s="328"/>
      <c r="Y74" s="328"/>
      <c r="Z74" s="328"/>
      <c r="AT74" s="106" t="str">
        <f>IF(AS74=0,"",SUM($AS$11:$AS74))</f>
        <v/>
      </c>
      <c r="AU74" s="330" t="s">
        <v>158</v>
      </c>
      <c r="AV74" s="105" t="b">
        <f>IF(AO9="Yes", TRUE,FALSE)</f>
        <v>0</v>
      </c>
      <c r="BH74" t="str">
        <f t="shared" si="2"/>
        <v/>
      </c>
      <c r="BJ74" t="str">
        <f t="shared" si="4"/>
        <v/>
      </c>
    </row>
    <row r="75" spans="2:62">
      <c r="B75" s="278" t="str">
        <f>IF(F75=0,"",SUM($F$66:F75))</f>
        <v/>
      </c>
      <c r="C75" s="328"/>
      <c r="D75" s="136" t="s">
        <v>371</v>
      </c>
      <c r="E75" s="141" t="b">
        <v>0</v>
      </c>
      <c r="F75" s="328">
        <f t="shared" si="16"/>
        <v>0</v>
      </c>
      <c r="G75" t="str">
        <f>'P - Policy &amp; Procedures'!N41</f>
        <v>P.2.b</v>
      </c>
      <c r="H75" s="345"/>
      <c r="I75" s="142" t="str">
        <f t="shared" si="17"/>
        <v/>
      </c>
      <c r="J75" s="345"/>
      <c r="K75" s="345"/>
      <c r="L75" s="345"/>
      <c r="N75" s="328"/>
      <c r="O75" s="328" t="s">
        <v>350</v>
      </c>
      <c r="P75" s="328"/>
      <c r="Q75" s="328"/>
      <c r="R75" s="328"/>
      <c r="S75" s="328"/>
      <c r="T75" s="328"/>
      <c r="U75" s="328"/>
      <c r="V75" s="328"/>
      <c r="W75" s="328"/>
      <c r="X75" s="328"/>
      <c r="Y75" s="328"/>
      <c r="Z75" s="328"/>
      <c r="AS75" s="106">
        <f t="shared" si="0"/>
        <v>0</v>
      </c>
      <c r="AT75" s="106" t="str">
        <f>IF(AS75=0,"",SUM($AS$11:$AS75))</f>
        <v/>
      </c>
      <c r="AU75" t="str">
        <f>IF(AV75="","",AL10)</f>
        <v/>
      </c>
      <c r="AV75" t="str">
        <f>IF(AND($AV$74=TRUE,AO10=TRUE),"Marketing Contact Details","")</f>
        <v/>
      </c>
      <c r="AW75" s="97">
        <v>2</v>
      </c>
      <c r="AX75" t="s">
        <v>158</v>
      </c>
      <c r="AY75" t="s">
        <v>641</v>
      </c>
      <c r="AZ75" t="s">
        <v>158</v>
      </c>
      <c r="BB75" t="s">
        <v>136</v>
      </c>
      <c r="BC75" t="s">
        <v>682</v>
      </c>
      <c r="BD75" t="s">
        <v>862</v>
      </c>
      <c r="BE75" s="224" t="s">
        <v>537</v>
      </c>
      <c r="BH75" t="str">
        <f t="shared" si="2"/>
        <v/>
      </c>
      <c r="BJ75" t="str">
        <f t="shared" si="4"/>
        <v/>
      </c>
    </row>
    <row r="76" spans="2:62">
      <c r="B76" s="278" t="str">
        <f>IF(F76=0,"",SUM($F$66:F76))</f>
        <v/>
      </c>
      <c r="C76" s="328"/>
      <c r="D76" s="136" t="s">
        <v>373</v>
      </c>
      <c r="E76" s="141" t="b">
        <v>0</v>
      </c>
      <c r="F76" s="328">
        <f t="shared" si="16"/>
        <v>0</v>
      </c>
      <c r="G76" t="str">
        <f>'P - Policy &amp; Procedures'!N43</f>
        <v>P.2.c</v>
      </c>
      <c r="H76" s="345"/>
      <c r="I76" s="142" t="str">
        <f t="shared" si="17"/>
        <v/>
      </c>
      <c r="J76" s="345"/>
      <c r="K76" s="345"/>
      <c r="L76" s="345"/>
      <c r="N76" s="328"/>
      <c r="O76" s="328"/>
      <c r="P76" s="328"/>
      <c r="Q76" s="328"/>
      <c r="R76" s="328"/>
      <c r="S76" s="328"/>
      <c r="T76" s="328"/>
      <c r="U76" s="328"/>
      <c r="V76" s="328"/>
      <c r="W76" s="328"/>
      <c r="X76" s="328"/>
      <c r="Y76" s="328"/>
      <c r="Z76" s="328"/>
      <c r="AS76" s="106">
        <f>IF(AU76&lt;&gt;"",1,0)</f>
        <v>0</v>
      </c>
      <c r="AT76" s="106" t="str">
        <f>IF(AS76=0,"",SUM($AS$11:$AS76))</f>
        <v/>
      </c>
      <c r="AU76" t="str">
        <f>IF(AV76="","",AL11)</f>
        <v/>
      </c>
      <c r="AV76" t="str">
        <f>IF(AND($AV$74=TRUE,AO11=TRUE),"Age Profiling","")</f>
        <v/>
      </c>
      <c r="AW76" s="97">
        <v>2</v>
      </c>
      <c r="AX76" t="s">
        <v>158</v>
      </c>
      <c r="AY76" t="s">
        <v>641</v>
      </c>
      <c r="AZ76" t="s">
        <v>168</v>
      </c>
      <c r="BB76" t="s">
        <v>136</v>
      </c>
      <c r="BC76" t="s">
        <v>682</v>
      </c>
      <c r="BD76" t="s">
        <v>862</v>
      </c>
      <c r="BE76" s="224" t="s">
        <v>537</v>
      </c>
      <c r="BH76" t="str">
        <f t="shared" ref="BH76:BH80" si="20">IF(AW76=3,"Yes(1)","")</f>
        <v/>
      </c>
      <c r="BJ76" t="str">
        <f t="shared" ref="BJ76:BJ80" si="21">IF(BG76="Outside UK / EU","Yes(2)","")</f>
        <v/>
      </c>
    </row>
    <row r="77" spans="2:62">
      <c r="B77" s="278" t="str">
        <f>IF(F77=0,"",SUM($F$66:F77))</f>
        <v/>
      </c>
      <c r="C77" s="328"/>
      <c r="D77" s="136" t="s">
        <v>335</v>
      </c>
      <c r="E77" s="141" t="b">
        <v>0</v>
      </c>
      <c r="F77" s="328">
        <f t="shared" si="16"/>
        <v>0</v>
      </c>
      <c r="G77" t="str">
        <f>'P - Policy &amp; Procedures'!N45</f>
        <v>P.2.d</v>
      </c>
      <c r="H77" s="345"/>
      <c r="I77" s="142" t="str">
        <f t="shared" si="17"/>
        <v/>
      </c>
      <c r="J77" s="345"/>
      <c r="K77" s="345"/>
      <c r="L77" s="345"/>
      <c r="N77" s="328" t="s">
        <v>354</v>
      </c>
      <c r="O77" s="328"/>
      <c r="P77" s="328"/>
      <c r="Q77" s="328"/>
      <c r="R77" s="328"/>
      <c r="S77" s="328"/>
      <c r="T77" s="328"/>
      <c r="U77" s="328"/>
      <c r="V77" s="328"/>
      <c r="W77" s="328"/>
      <c r="X77" s="328"/>
      <c r="Y77" s="328"/>
      <c r="Z77" s="328"/>
      <c r="AS77" s="106">
        <f>IF(AU77&lt;&gt;"",1,0)</f>
        <v>0</v>
      </c>
      <c r="AT77" s="106" t="str">
        <f>IF(AS77=0,"",SUM($AS$11:$AS77))</f>
        <v/>
      </c>
      <c r="AU77" t="str">
        <f>IF(AV77="","",AL12)</f>
        <v/>
      </c>
      <c r="AV77" t="str">
        <f>IF(AND($AV$74=TRUE,AO12=TRUE),"Marketing Consent","")</f>
        <v/>
      </c>
      <c r="AW77" s="97">
        <v>2</v>
      </c>
      <c r="AX77" t="s">
        <v>158</v>
      </c>
      <c r="AY77" t="s">
        <v>641</v>
      </c>
      <c r="AZ77" t="s">
        <v>164</v>
      </c>
      <c r="BB77" t="s">
        <v>136</v>
      </c>
      <c r="BC77" t="s">
        <v>682</v>
      </c>
      <c r="BD77" t="s">
        <v>862</v>
      </c>
      <c r="BE77" s="224" t="s">
        <v>537</v>
      </c>
      <c r="BH77" t="str">
        <f t="shared" si="20"/>
        <v/>
      </c>
      <c r="BJ77" t="str">
        <f t="shared" si="21"/>
        <v/>
      </c>
    </row>
    <row r="78" spans="2:62">
      <c r="B78" s="278" t="str">
        <f>IF(F78=0,"",SUM($F$66:F78))</f>
        <v/>
      </c>
      <c r="C78" s="328"/>
      <c r="D78" s="136" t="s">
        <v>790</v>
      </c>
      <c r="E78" s="141" t="b">
        <v>0</v>
      </c>
      <c r="F78" s="328">
        <f t="shared" si="16"/>
        <v>0</v>
      </c>
      <c r="G78" t="str">
        <f>'P - Policy &amp; Procedures'!N47</f>
        <v>P.2.e</v>
      </c>
      <c r="H78" s="345"/>
      <c r="I78" s="142" t="str">
        <f t="shared" si="17"/>
        <v/>
      </c>
      <c r="J78" s="345"/>
      <c r="K78" s="345"/>
      <c r="L78" s="345"/>
      <c r="N78" s="328"/>
      <c r="O78" s="328"/>
      <c r="P78" s="328"/>
      <c r="Q78" s="328"/>
      <c r="R78" s="328"/>
      <c r="S78" s="328"/>
      <c r="T78" s="328"/>
      <c r="U78" s="328"/>
      <c r="V78" s="328"/>
      <c r="W78" s="328"/>
      <c r="X78" s="328"/>
      <c r="Y78" s="328"/>
      <c r="Z78" s="328"/>
      <c r="AS78" s="106">
        <f>IF(AU78&lt;&gt;"",1,0)</f>
        <v>0</v>
      </c>
      <c r="AT78" s="106" t="str">
        <f>IF(AS78=0,"",SUM($AS$11:$AS78))</f>
        <v/>
      </c>
      <c r="AU78" t="str">
        <f>IF(AV78="","",AL15)</f>
        <v/>
      </c>
      <c r="AV78" t="str">
        <f>IF(AND($AV$74=TRUE,AO13&lt;&gt;"Please Select:"),AO15,"")</f>
        <v/>
      </c>
      <c r="AW78" s="97" t="str">
        <f>_xlfn.IFNA(VLOOKUP(AO13,$AV$3:$AW$6,2,FALSE),"")</f>
        <v/>
      </c>
      <c r="AX78" t="s">
        <v>174</v>
      </c>
      <c r="AY78" t="s">
        <v>641</v>
      </c>
      <c r="AZ78" t="s">
        <v>174</v>
      </c>
      <c r="BA78" t="s">
        <v>174</v>
      </c>
      <c r="BB78" t="s">
        <v>174</v>
      </c>
      <c r="BC78" t="s">
        <v>682</v>
      </c>
      <c r="BD78" t="s">
        <v>862</v>
      </c>
      <c r="BE78" t="s">
        <v>174</v>
      </c>
      <c r="BF78" t="str">
        <f>IF(AO13=$AV$5,"Please Complete","")</f>
        <v/>
      </c>
      <c r="BG78" t="s">
        <v>174</v>
      </c>
      <c r="BH78" t="str">
        <f t="shared" si="20"/>
        <v/>
      </c>
      <c r="BI78" t="s">
        <v>174</v>
      </c>
      <c r="BJ78" t="str">
        <f t="shared" si="21"/>
        <v/>
      </c>
    </row>
    <row r="79" spans="2:62">
      <c r="B79" s="278" t="str">
        <f>IF(F79=0,"",SUM($F$66:F79))</f>
        <v/>
      </c>
      <c r="C79" s="328"/>
      <c r="D79" s="136" t="s">
        <v>379</v>
      </c>
      <c r="E79" s="141" t="b">
        <v>0</v>
      </c>
      <c r="F79" s="328">
        <f t="shared" si="16"/>
        <v>0</v>
      </c>
      <c r="H79" s="345"/>
      <c r="I79" s="142" t="str">
        <f t="shared" si="17"/>
        <v/>
      </c>
      <c r="J79" s="345"/>
      <c r="K79" s="345"/>
      <c r="L79" s="345"/>
      <c r="N79" s="328"/>
      <c r="O79" s="328"/>
      <c r="P79" s="328"/>
      <c r="Q79" s="328"/>
      <c r="R79" s="328"/>
      <c r="S79" s="328"/>
      <c r="T79" s="328"/>
      <c r="U79" s="328"/>
      <c r="V79" s="328"/>
      <c r="W79" s="328"/>
      <c r="X79" s="328"/>
      <c r="Y79" s="328"/>
      <c r="Z79" s="328"/>
      <c r="AT79" s="106" t="str">
        <f>IF(AS79=0,"",SUM($AS$11:$AS79))</f>
        <v/>
      </c>
      <c r="AU79" s="463" t="s">
        <v>566</v>
      </c>
      <c r="AV79" s="104" t="b">
        <f>IF(OR(E70=TRUE,E77=TRUE),TRUE,FALSE)</f>
        <v>0</v>
      </c>
      <c r="BE79" s="224"/>
      <c r="BH79" t="str">
        <f t="shared" si="20"/>
        <v/>
      </c>
      <c r="BJ79" t="str">
        <f t="shared" si="21"/>
        <v/>
      </c>
    </row>
    <row r="80" spans="2:62">
      <c r="B80" s="278" t="str">
        <f>IF(F80=0,"",SUM($F$66:F80))</f>
        <v/>
      </c>
      <c r="C80" s="328"/>
      <c r="D80" s="136" t="s">
        <v>380</v>
      </c>
      <c r="E80" s="348"/>
      <c r="F80" s="328">
        <f t="shared" si="16"/>
        <v>0</v>
      </c>
      <c r="H80" s="345"/>
      <c r="I80" s="142"/>
      <c r="J80" s="345"/>
      <c r="K80" s="345"/>
      <c r="L80" s="345"/>
      <c r="N80" s="328"/>
      <c r="O80" s="328"/>
      <c r="P80" s="328"/>
      <c r="Q80" s="328"/>
      <c r="R80" s="328"/>
      <c r="S80" s="328"/>
      <c r="T80" s="328"/>
      <c r="U80" s="328"/>
      <c r="V80" s="328"/>
      <c r="W80" s="328"/>
      <c r="X80" s="328"/>
      <c r="Y80" s="328"/>
      <c r="Z80" s="328"/>
      <c r="AS80" s="106">
        <f>IF(AU80&lt;&gt;"",1,0)</f>
        <v>0</v>
      </c>
      <c r="AT80" s="106" t="str">
        <f>IF(AS80=0,"",SUM($AS$11:$AS80))</f>
        <v/>
      </c>
      <c r="AU80" t="str">
        <f>IF(AV80="","",AL15)</f>
        <v/>
      </c>
      <c r="AV80" t="str">
        <f>IF(AV79=TRUE,"SAR Enquiry","")</f>
        <v/>
      </c>
      <c r="AW80" s="97">
        <v>3</v>
      </c>
      <c r="AX80" t="s">
        <v>156</v>
      </c>
      <c r="AY80" t="s">
        <v>136</v>
      </c>
      <c r="AZ80" t="s">
        <v>835</v>
      </c>
      <c r="BA80" s="104" t="s">
        <v>136</v>
      </c>
      <c r="BB80" t="s">
        <v>136</v>
      </c>
      <c r="BC80" t="s">
        <v>834</v>
      </c>
      <c r="BD80" t="s">
        <v>872</v>
      </c>
      <c r="BE80" s="224" t="s">
        <v>535</v>
      </c>
      <c r="BG80" t="s">
        <v>834</v>
      </c>
      <c r="BH80" t="str">
        <f t="shared" si="20"/>
        <v>Yes(1)</v>
      </c>
      <c r="BI80" t="s">
        <v>743</v>
      </c>
      <c r="BJ80" t="str">
        <f t="shared" si="21"/>
        <v/>
      </c>
    </row>
    <row r="83" spans="2:18">
      <c r="B83" s="349"/>
      <c r="C83" s="349"/>
      <c r="D83" s="191" t="s">
        <v>431</v>
      </c>
      <c r="E83" s="346" t="str">
        <f>'P - Policy &amp; Procedures'!J63</f>
        <v>Privacy Policy</v>
      </c>
      <c r="F83" s="328"/>
      <c r="G83" t="s">
        <v>468</v>
      </c>
      <c r="H83" s="344" t="s">
        <v>467</v>
      </c>
      <c r="I83" s="328"/>
      <c r="J83" s="328"/>
      <c r="K83" s="328"/>
      <c r="L83" s="328"/>
      <c r="M83" s="328"/>
      <c r="N83" s="328"/>
    </row>
    <row r="84" spans="2:18">
      <c r="B84" s="328"/>
      <c r="C84" s="328"/>
      <c r="D84" s="136" t="s">
        <v>14</v>
      </c>
      <c r="E84" s="328" t="str">
        <f>""</f>
        <v/>
      </c>
      <c r="F84" s="328" t="str">
        <f>""</f>
        <v/>
      </c>
      <c r="G84" t="s">
        <v>468</v>
      </c>
      <c r="H84" s="328"/>
      <c r="I84" s="344" t="s">
        <v>430</v>
      </c>
      <c r="J84" s="344"/>
      <c r="K84" s="344" t="s">
        <v>470</v>
      </c>
      <c r="L84" s="328"/>
      <c r="M84" s="297" t="s">
        <v>650</v>
      </c>
      <c r="N84" s="297" t="s">
        <v>696</v>
      </c>
    </row>
    <row r="85" spans="2:18">
      <c r="B85" s="328"/>
      <c r="C85" s="328"/>
      <c r="D85" s="136" t="s">
        <v>314</v>
      </c>
      <c r="E85" s="328" t="str">
        <f>"Privacy Policy for "&amp;$D$4</f>
        <v>Privacy Policy for Enter your Charity name here</v>
      </c>
      <c r="F85" s="327" t="s">
        <v>807</v>
      </c>
      <c r="G85" t="s">
        <v>468</v>
      </c>
      <c r="H85" s="328"/>
      <c r="I85" s="350">
        <f>'P - Policy &amp; Procedures'!G19</f>
        <v>0</v>
      </c>
      <c r="J85" s="351"/>
      <c r="K85" s="351">
        <f>'P - Policy &amp; Procedures'!J19</f>
        <v>0</v>
      </c>
      <c r="L85" s="351" t="str">
        <f>'P - Policy &amp; Procedures'!N19</f>
        <v>P.1.a</v>
      </c>
      <c r="M85" s="328" t="b">
        <f>IF(AND(E66=TRUE,OR(I85=0,K85=0)),TRUE,FALSE)</f>
        <v>0</v>
      </c>
      <c r="N85" s="328" t="b">
        <f t="shared" ref="N85:N95" ca="1" si="22">IF(AND(E66=FALSE,OR(I85&gt;TODAY()-1,K85&gt;TODAY()-1)),TRUE,FALSE)</f>
        <v>0</v>
      </c>
      <c r="R85" s="215"/>
    </row>
    <row r="86" spans="2:18">
      <c r="B86" s="328"/>
      <c r="C86" s="328"/>
      <c r="D86" s="136" t="s">
        <v>315</v>
      </c>
      <c r="E86" s="328" t="str">
        <f>"Data Processing Policy for "&amp;$D$4&amp;", referred to as ""The Charity"""</f>
        <v>Data Processing Policy for Enter your Charity name here, referred to as "The Charity"</v>
      </c>
      <c r="F86" s="328" t="s">
        <v>779</v>
      </c>
      <c r="G86" t="s">
        <v>468</v>
      </c>
      <c r="H86" s="328"/>
      <c r="I86" s="351">
        <f>'P - Policy &amp; Procedures'!G21</f>
        <v>0</v>
      </c>
      <c r="J86" s="351"/>
      <c r="K86" s="351">
        <f>'P - Policy &amp; Procedures'!J21</f>
        <v>0</v>
      </c>
      <c r="L86" s="351" t="str">
        <f>'P - Policy &amp; Procedures'!N21</f>
        <v>P.1.b</v>
      </c>
      <c r="M86" s="328" t="b">
        <f t="shared" ref="M86:M97" si="23">IF(AND(E67=TRUE,OR(I86=0,K86=0)),TRUE,FALSE)</f>
        <v>0</v>
      </c>
      <c r="N86" s="328" t="b">
        <f t="shared" ca="1" si="22"/>
        <v>0</v>
      </c>
    </row>
    <row r="87" spans="2:18">
      <c r="B87" s="328"/>
      <c r="C87" s="328"/>
      <c r="D87" s="136" t="s">
        <v>429</v>
      </c>
      <c r="E87" s="328" t="str">
        <f>"Data and Destruction Policy for "&amp;$D$4&amp;", referred to as ""The Charity"""</f>
        <v>Data and Destruction Policy for Enter your Charity name here, referred to as "The Charity"</v>
      </c>
      <c r="F87" s="328" t="s">
        <v>780</v>
      </c>
      <c r="G87" t="s">
        <v>468</v>
      </c>
      <c r="H87" s="328"/>
      <c r="I87" s="351">
        <f>'P - Policy &amp; Procedures'!G23</f>
        <v>0</v>
      </c>
      <c r="J87" s="351"/>
      <c r="K87" s="351">
        <f>'P - Policy &amp; Procedures'!J23</f>
        <v>0</v>
      </c>
      <c r="L87" s="351" t="str">
        <f>'P - Policy &amp; Procedures'!N23</f>
        <v>P.1.c</v>
      </c>
      <c r="M87" s="328" t="b">
        <f t="shared" si="23"/>
        <v>0</v>
      </c>
      <c r="N87" s="328" t="b">
        <f t="shared" ca="1" si="22"/>
        <v>0</v>
      </c>
    </row>
    <row r="88" spans="2:18">
      <c r="B88" s="328"/>
      <c r="C88" s="328"/>
      <c r="D88" s="136" t="s">
        <v>778</v>
      </c>
      <c r="E88" s="328" t="str">
        <f>"Employee Privacy Policy for "&amp;$D$4&amp;", referred to as ""The Charity"""</f>
        <v>Employee Privacy Policy for Enter your Charity name here, referred to as "The Charity"</v>
      </c>
      <c r="F88" s="328" t="s">
        <v>808</v>
      </c>
      <c r="G88" t="s">
        <v>468</v>
      </c>
      <c r="H88" s="328"/>
      <c r="I88" s="351">
        <f>'P - Policy &amp; Procedures'!G25</f>
        <v>0</v>
      </c>
      <c r="J88" s="351"/>
      <c r="K88" s="351">
        <f>'P - Policy &amp; Procedures'!J25</f>
        <v>0</v>
      </c>
      <c r="L88" s="351" t="str">
        <f>'P - Policy &amp; Procedures'!N25</f>
        <v>P.1.d</v>
      </c>
      <c r="M88" s="328" t="b">
        <f t="shared" si="23"/>
        <v>0</v>
      </c>
      <c r="N88" s="328" t="b">
        <f t="shared" ca="1" si="22"/>
        <v>0</v>
      </c>
    </row>
    <row r="89" spans="2:18">
      <c r="B89" s="328"/>
      <c r="C89" s="328"/>
      <c r="D89" s="136" t="s">
        <v>334</v>
      </c>
      <c r="E89" s="328" t="str">
        <f>"Subject Access Request Policy for "&amp;$D$4&amp;", referred to as ""The Charity"""</f>
        <v>Subject Access Request Policy for Enter your Charity name here, referred to as "The Charity"</v>
      </c>
      <c r="F89" s="328" t="s">
        <v>781</v>
      </c>
      <c r="G89" t="s">
        <v>468</v>
      </c>
      <c r="H89" s="328"/>
      <c r="I89" s="351">
        <f>'P - Policy &amp; Procedures'!G27</f>
        <v>0</v>
      </c>
      <c r="J89" s="351"/>
      <c r="K89" s="351">
        <f>'P - Policy &amp; Procedures'!J27</f>
        <v>0</v>
      </c>
      <c r="L89" s="351" t="str">
        <f>'P - Policy &amp; Procedures'!N27</f>
        <v>P.1.e</v>
      </c>
      <c r="M89" s="328" t="b">
        <f t="shared" si="23"/>
        <v>0</v>
      </c>
      <c r="N89" s="328" t="b">
        <f t="shared" ca="1" si="22"/>
        <v>0</v>
      </c>
    </row>
    <row r="90" spans="2:18">
      <c r="B90" s="328"/>
      <c r="C90" s="328"/>
      <c r="D90" s="136" t="s">
        <v>415</v>
      </c>
      <c r="E90" s="328" t="str">
        <f>"3rd Party Supplier Policy for "&amp;$D$4&amp;", referred to as ""The Charity"""</f>
        <v>3rd Party Supplier Policy for Enter your Charity name here, referred to as "The Charity"</v>
      </c>
      <c r="F90" s="328" t="s">
        <v>782</v>
      </c>
      <c r="G90" t="s">
        <v>468</v>
      </c>
      <c r="H90" s="328"/>
      <c r="I90" s="351">
        <f>'P - Policy &amp; Procedures'!G29</f>
        <v>0</v>
      </c>
      <c r="J90" s="351"/>
      <c r="K90" s="351">
        <f>'P - Policy &amp; Procedures'!J29</f>
        <v>0</v>
      </c>
      <c r="L90" s="351" t="str">
        <f>'P - Policy &amp; Procedures'!N29</f>
        <v>P.1.f</v>
      </c>
      <c r="M90" s="328" t="b">
        <f t="shared" si="23"/>
        <v>0</v>
      </c>
      <c r="N90" s="328" t="b">
        <f t="shared" ca="1" si="22"/>
        <v>0</v>
      </c>
    </row>
    <row r="91" spans="2:18">
      <c r="B91" s="328"/>
      <c r="C91" s="328"/>
      <c r="D91" s="136" t="s">
        <v>316</v>
      </c>
      <c r="E91" s="328" t="str">
        <f>"UK GDPR Training Policy for "&amp;$D$4&amp;", referred to as ""The Charity"""</f>
        <v>UK GDPR Training Policy for Enter your Charity name here, referred to as "The Charity"</v>
      </c>
      <c r="F91" s="328" t="s">
        <v>783</v>
      </c>
      <c r="G91" t="s">
        <v>468</v>
      </c>
      <c r="H91" s="328"/>
      <c r="I91" s="351">
        <f>'P - Policy &amp; Procedures'!G31</f>
        <v>0</v>
      </c>
      <c r="J91" s="351"/>
      <c r="K91" s="351">
        <f>'P - Policy &amp; Procedures'!J31</f>
        <v>0</v>
      </c>
      <c r="L91" s="351" t="str">
        <f>'P - Policy &amp; Procedures'!N31</f>
        <v>P.1.g</v>
      </c>
      <c r="M91" s="328" t="b">
        <f t="shared" si="23"/>
        <v>0</v>
      </c>
      <c r="N91" s="328" t="b">
        <f t="shared" ca="1" si="22"/>
        <v>0</v>
      </c>
    </row>
    <row r="92" spans="2:18">
      <c r="B92" s="328"/>
      <c r="C92" s="328"/>
      <c r="D92" s="136" t="s">
        <v>450</v>
      </c>
      <c r="E92" s="328" t="str">
        <f>"Personal Data Beach Policy for "&amp;$D$4&amp;", referred to as ""The Charity"""</f>
        <v>Personal Data Beach Policy for Enter your Charity name here, referred to as "The Charity"</v>
      </c>
      <c r="F92" s="328" t="s">
        <v>784</v>
      </c>
      <c r="G92" t="s">
        <v>468</v>
      </c>
      <c r="H92" s="328"/>
      <c r="I92" s="351">
        <f>'P - Policy &amp; Procedures'!G33</f>
        <v>0</v>
      </c>
      <c r="J92" s="351"/>
      <c r="K92" s="350">
        <f>'P - Policy &amp; Procedures'!J33</f>
        <v>0</v>
      </c>
      <c r="L92" s="351" t="str">
        <f>'P - Policy &amp; Procedures'!N33</f>
        <v>P.1.h</v>
      </c>
      <c r="M92" s="328" t="b">
        <f t="shared" si="23"/>
        <v>0</v>
      </c>
      <c r="N92" s="328" t="b">
        <f t="shared" ca="1" si="22"/>
        <v>0</v>
      </c>
    </row>
    <row r="93" spans="2:18">
      <c r="B93" s="328"/>
      <c r="C93" s="328"/>
      <c r="D93" s="136" t="s">
        <v>369</v>
      </c>
      <c r="E93" s="328" t="str">
        <f>"Access Control Procedures for "&amp;$D$4&amp;", referred to as ""The Charity"""</f>
        <v>Access Control Procedures for Enter your Charity name here, referred to as "The Charity"</v>
      </c>
      <c r="F93" s="328" t="s">
        <v>785</v>
      </c>
      <c r="G93" t="s">
        <v>468</v>
      </c>
      <c r="H93" s="328"/>
      <c r="I93" s="351">
        <f>'P - Policy &amp; Procedures'!G39</f>
        <v>0</v>
      </c>
      <c r="J93" s="351"/>
      <c r="K93" s="351">
        <f>'P - Policy &amp; Procedures'!J39</f>
        <v>0</v>
      </c>
      <c r="L93" s="351" t="str">
        <f>'P - Policy &amp; Procedures'!N27</f>
        <v>P.1.e</v>
      </c>
      <c r="M93" s="328" t="b">
        <f t="shared" si="23"/>
        <v>0</v>
      </c>
      <c r="N93" s="328" t="b">
        <f t="shared" ca="1" si="22"/>
        <v>0</v>
      </c>
    </row>
    <row r="94" spans="2:18">
      <c r="B94" s="328"/>
      <c r="C94" s="328"/>
      <c r="D94" s="136" t="s">
        <v>371</v>
      </c>
      <c r="E94" s="328" t="str">
        <f>"Document Control Procedures for "&amp;$D$4&amp;", referred to as ""The Charity"""</f>
        <v>Document Control Procedures for Enter your Charity name here, referred to as "The Charity"</v>
      </c>
      <c r="F94" s="328" t="s">
        <v>687</v>
      </c>
      <c r="G94" t="s">
        <v>468</v>
      </c>
      <c r="H94" s="328"/>
      <c r="I94" s="351">
        <f>'P - Policy &amp; Procedures'!G41</f>
        <v>0</v>
      </c>
      <c r="J94" s="351"/>
      <c r="K94" s="351">
        <f>'P - Policy &amp; Procedures'!J41</f>
        <v>0</v>
      </c>
      <c r="L94" s="351" t="str">
        <f>'P - Policy &amp; Procedures'!N39</f>
        <v>P.2.a</v>
      </c>
      <c r="M94" s="328" t="b">
        <f t="shared" si="23"/>
        <v>0</v>
      </c>
      <c r="N94" s="328" t="b">
        <f t="shared" ca="1" si="22"/>
        <v>0</v>
      </c>
    </row>
    <row r="95" spans="2:18">
      <c r="B95" s="328"/>
      <c r="C95" s="328"/>
      <c r="D95" s="136" t="s">
        <v>373</v>
      </c>
      <c r="E95" s="328" t="str">
        <f>"Incident Managment Procedures for "&amp;$D$4</f>
        <v>Incident Managment Procedures for Enter your Charity name here</v>
      </c>
      <c r="F95" s="328" t="s">
        <v>786</v>
      </c>
      <c r="G95" t="s">
        <v>468</v>
      </c>
      <c r="H95" s="328"/>
      <c r="I95" s="351">
        <f>'P - Policy &amp; Procedures'!G43</f>
        <v>0</v>
      </c>
      <c r="J95" s="351"/>
      <c r="K95" s="351">
        <f>'P - Policy &amp; Procedures'!J43</f>
        <v>0</v>
      </c>
      <c r="L95" s="351" t="str">
        <f>'P - Policy &amp; Procedures'!N41</f>
        <v>P.2.b</v>
      </c>
      <c r="M95" s="328" t="b">
        <f t="shared" si="23"/>
        <v>0</v>
      </c>
      <c r="N95" s="328" t="b">
        <f t="shared" ca="1" si="22"/>
        <v>0</v>
      </c>
    </row>
    <row r="96" spans="2:18">
      <c r="B96" s="328"/>
      <c r="C96" s="328"/>
      <c r="D96" s="136" t="s">
        <v>335</v>
      </c>
      <c r="E96" s="328" t="str">
        <f>"Subject Access Request Procedure for "&amp;$D$4&amp;", referred to as ""The Charity"""</f>
        <v>Subject Access Request Procedure for Enter your Charity name here, referred to as "The Charity"</v>
      </c>
      <c r="F96" s="328" t="s">
        <v>787</v>
      </c>
      <c r="G96" t="s">
        <v>468</v>
      </c>
      <c r="H96" s="328"/>
      <c r="I96" s="351">
        <f>'P - Policy &amp; Procedures'!G45</f>
        <v>0</v>
      </c>
      <c r="J96" s="351"/>
      <c r="K96" s="351">
        <f>'P - Policy &amp; Procedures'!J45</f>
        <v>0</v>
      </c>
      <c r="L96" s="351" t="str">
        <f>'P - Policy &amp; Procedures'!N43</f>
        <v>P.2.c</v>
      </c>
      <c r="M96" s="328" t="b">
        <f t="shared" si="23"/>
        <v>0</v>
      </c>
      <c r="N96" s="328" t="b">
        <f ca="1">IF(AND(E77=FALSE,OR(I96&gt;TODAY()-1,K96&gt;TODAY()-1)),TRUE,FALSE)</f>
        <v>0</v>
      </c>
    </row>
    <row r="97" spans="2:53">
      <c r="B97" s="328"/>
      <c r="C97" s="328"/>
      <c r="D97" s="136" t="s">
        <v>790</v>
      </c>
      <c r="E97" s="328" t="str">
        <f>"Restricted Transfer Considerations for "&amp;$D$4&amp;", referred to as ""The Charity"""</f>
        <v>Restricted Transfer Considerations for Enter your Charity name here, referred to as "The Charity"</v>
      </c>
      <c r="F97" s="328" t="s">
        <v>791</v>
      </c>
      <c r="G97" t="s">
        <v>468</v>
      </c>
      <c r="H97" s="328"/>
      <c r="I97" s="351">
        <f>'P - Policy &amp; Procedures'!G47</f>
        <v>0</v>
      </c>
      <c r="J97" s="351"/>
      <c r="K97" s="351">
        <f>'P - Policy &amp; Procedures'!J47</f>
        <v>0</v>
      </c>
      <c r="L97" s="351" t="str">
        <f>'P - Policy &amp; Procedures'!N45</f>
        <v>P.2.d</v>
      </c>
      <c r="M97" s="328" t="b">
        <f t="shared" si="23"/>
        <v>0</v>
      </c>
      <c r="N97" s="328" t="b">
        <f ca="1">IF(AND(E78=FALSE,OR(I97&gt;TODAY()-1,K97&gt;TODAY()-1)),TRUE,FALSE)</f>
        <v>0</v>
      </c>
    </row>
    <row r="98" spans="2:53">
      <c r="B98" s="328"/>
      <c r="C98" s="328"/>
      <c r="D98" s="136" t="s">
        <v>379</v>
      </c>
      <c r="E98" s="328"/>
      <c r="F98" s="328"/>
      <c r="G98" t="s">
        <v>468</v>
      </c>
      <c r="H98" s="328"/>
      <c r="I98" s="136" t="s">
        <v>651</v>
      </c>
      <c r="J98" s="328" t="b">
        <f>IF(COUNTIF(M85:M96,TRUE)&gt;0,TRUE,FALSE)</f>
        <v>0</v>
      </c>
      <c r="K98" s="351" t="s">
        <v>653</v>
      </c>
      <c r="L98" s="351"/>
      <c r="M98" s="328"/>
      <c r="N98" s="328"/>
    </row>
    <row r="99" spans="2:53">
      <c r="B99" s="328"/>
      <c r="C99" s="328"/>
      <c r="D99" s="136" t="s">
        <v>380</v>
      </c>
      <c r="E99" s="328"/>
      <c r="F99" s="328"/>
      <c r="G99" t="s">
        <v>468</v>
      </c>
      <c r="H99" s="328"/>
      <c r="I99" s="351" t="s">
        <v>652</v>
      </c>
      <c r="J99" s="351" t="b">
        <f ca="1">IF(COUNTIF(N85:N96,TRUE)&gt;0,TRUE,FALSE)</f>
        <v>0</v>
      </c>
      <c r="K99" s="351" t="s">
        <v>748</v>
      </c>
      <c r="L99" s="351"/>
      <c r="M99" s="328"/>
      <c r="N99" s="328"/>
    </row>
    <row r="100" spans="2:53">
      <c r="B100" s="328"/>
      <c r="C100" s="328"/>
      <c r="D100" s="328"/>
      <c r="E100" s="328"/>
      <c r="F100" s="328"/>
      <c r="G100" t="s">
        <v>468</v>
      </c>
      <c r="H100" s="328"/>
      <c r="I100" s="328"/>
      <c r="J100" s="328"/>
      <c r="K100" s="328"/>
      <c r="L100" s="328"/>
      <c r="M100" s="328"/>
      <c r="N100" s="328"/>
    </row>
    <row r="101" spans="2:53">
      <c r="B101" s="328"/>
      <c r="C101" s="328"/>
      <c r="D101" s="136" t="s">
        <v>432</v>
      </c>
      <c r="E101" s="328" t="str">
        <f>_xlfn.IFNA(VLOOKUP(E83,D84:F99,2,FALSE),"Error - Procedure or Policy not found")</f>
        <v>Privacy Policy for Enter your Charity name here</v>
      </c>
      <c r="F101" s="328"/>
      <c r="G101" t="s">
        <v>468</v>
      </c>
      <c r="H101" s="328"/>
      <c r="I101" s="328"/>
      <c r="J101" s="328"/>
      <c r="K101" s="328"/>
      <c r="L101" s="328"/>
      <c r="M101" s="328"/>
      <c r="N101" s="328"/>
    </row>
    <row r="102" spans="2:53">
      <c r="B102" s="328"/>
      <c r="C102" s="328"/>
      <c r="D102" s="136" t="s">
        <v>433</v>
      </c>
      <c r="E102" s="328" t="str">
        <f>VLOOKUP(E83,D84:F99,3,FALSE)</f>
        <v>We currently collect and process the following information:
•	Personal identifiers, contacts and characteristics (for example, name and contact details as well as any other relevant information required for the Charity to deliver its services).
Most of the personal information we process is provided to us directly by you for one of the following reasons:
•	As an employee, volunteer or practitioner for our Charity
•	As a beneficiary of the services our Charity offers
•	Or as Donor or recipient of marketing activities
We also receive personal information indirectly, from the following sources in the following scenarios:
•	From any affiliated charitable donation websites, such as Just Giving
•	Or from relevant searches we make 
We use the information that you have given us to fund and supply our services.
We may share this information with our practitioners and other outsourced suppliers (for example gift aid processing) in accordance the above.
Under the UK General Data Protection Regulation (UK GDPR), the lawful bases we rely on for processing this information are:
(a) Your consent. You can remove your consent at any time. You can do this by directly contacting us.
(b) We have a contractual obligation.
(c) We have a legal obligation.
(d) We have a legitimate interest.
Your information is securely stored and retain your records as per our Data Retention and Destruction Policy. We will then securely dispose your information once the retention period is met, or we no longer require it (whichever is shortest).
Under data protection law, you have rights including:
•	Your right of access - You have the right to ask us for copies of your personal information. 
•	Your right to rectification - You have the right to ask us to rectify personal information you think is inaccurate. You also have the right to ask us to complete information you think is incomplete. 
•	Your right to erasure - You have the right to ask us to erase your personal information in certain circumstances. 
•	Your right to restriction of processing - You have the right to ask us to restrict the processing of your personal information in certain circumstances. 
•	Your right to object to processing - You have the  right to object to the processing of your personal information in certain circumstances.
•	Your right to data portability - You have the right to ask that we transfer the personal information you gave us to another organisation, or to you, in certain circumstances.
You are not required to pay any charge for exercising your rights. If you make a request, we have one month to respond to you.
Please contact us if you wish to make a request.
How to complain
If you have any concerns about our use of your personal information, you can make a complaint to us at [Insert your organisation’s contact details for data protection queries].
You can also complain to the ICO if you are unhappy with how we have used your data.
The ICO’s address:            
Information Commissioner’s Office
Wycliffe House
Water Lane
Wilmslow
Cheshire
SK9 5AF
Helpline number: 0303 123 1113
ICO website: https://www.ico.org.uk</v>
      </c>
      <c r="F102" s="328"/>
      <c r="G102" t="s">
        <v>468</v>
      </c>
      <c r="H102" s="328"/>
      <c r="I102" s="328"/>
      <c r="J102" s="328"/>
      <c r="K102" s="328"/>
      <c r="L102" s="328"/>
      <c r="M102" s="328"/>
      <c r="N102" s="328"/>
    </row>
    <row r="105" spans="2:53">
      <c r="B105" s="352" t="s">
        <v>140</v>
      </c>
      <c r="C105" s="352" t="s">
        <v>139</v>
      </c>
      <c r="D105" s="352" t="s">
        <v>465</v>
      </c>
      <c r="E105" s="352"/>
      <c r="F105" s="352" t="s">
        <v>466</v>
      </c>
      <c r="H105" s="352" t="s">
        <v>506</v>
      </c>
      <c r="I105" s="352" t="s">
        <v>507</v>
      </c>
      <c r="J105" s="352" t="s">
        <v>508</v>
      </c>
      <c r="K105" s="352" t="s">
        <v>509</v>
      </c>
      <c r="L105" s="352" t="s">
        <v>509</v>
      </c>
      <c r="M105" s="352" t="s">
        <v>510</v>
      </c>
      <c r="AL105" s="106"/>
      <c r="AM105" s="106"/>
      <c r="AP105" s="97"/>
      <c r="AS105"/>
      <c r="AT105" s="104"/>
      <c r="AW105"/>
      <c r="BA105"/>
    </row>
    <row r="106" spans="2:53">
      <c r="B106" s="352">
        <f t="shared" ref="B106:B111" si="24">IF($E$66=TRUE,1,0)</f>
        <v>0</v>
      </c>
      <c r="C106" s="353">
        <f>SUM($B$106:B106)</f>
        <v>0</v>
      </c>
      <c r="D106" s="354" t="s">
        <v>483</v>
      </c>
      <c r="E106" s="352"/>
      <c r="F106" s="352"/>
      <c r="G106" s="97" t="s">
        <v>802</v>
      </c>
      <c r="H106" s="331" t="str">
        <f>IF(E66=TRUE,G66,"")&amp;IF(E67=TRUE,", "&amp;G67,"")&amp;IF(E68=TRUE,", "&amp;G68,"")&amp;IF(E69=TRUE,", "&amp;G69,"")&amp;IF(E70=TRUE,", "&amp;G70,"")&amp;IF(E71=TRUE,", "&amp;G71,"")&amp;IF(E72=TRUE,", "&amp;G72,"")&amp;IF(E73=TRUE,", "&amp;G73,"")&amp;IF(E74=TRUE,", "&amp;G74,"")&amp;IF(E75=TRUE,", "&amp;G75,"")&amp;IF(E76=TRUE,", "&amp;G76,"")&amp;IF(E77=TRUE,", "&amp;G77,"")&amp;IF(E78=TRUE,", "&amp;G78,"")</f>
        <v/>
      </c>
      <c r="I106" s="339" t="b">
        <f>IF(RIGHT(H106,2)=", ",TRUE,FALSE)</f>
        <v>0</v>
      </c>
      <c r="J106" s="339" t="str">
        <f>IF(I106=TRUE,(LEFT(H106,LEN(H106)-2)),H106)</f>
        <v/>
      </c>
      <c r="K106" s="339" t="b">
        <f>IF(LEN(J106)&gt;5,TRUE,FALSE)</f>
        <v>0</v>
      </c>
      <c r="L106" s="339" t="str">
        <f>IF(K106=TRUE,"responses","response")</f>
        <v>response</v>
      </c>
      <c r="M106" s="339" t="str">
        <f>IF(LEFT(RIGHT(J106,7),1)=",",LEFT(J106,LEN(J106)-7)&amp;" and"&amp;RIGHT(J106,6),J106)</f>
        <v/>
      </c>
      <c r="AL106" s="106"/>
      <c r="AM106" s="106"/>
      <c r="AP106" s="97"/>
      <c r="AS106"/>
      <c r="AT106" s="104"/>
      <c r="AW106"/>
      <c r="BA106"/>
    </row>
    <row r="107" spans="2:53">
      <c r="B107" s="352">
        <f t="shared" si="24"/>
        <v>0</v>
      </c>
      <c r="C107" s="353">
        <f>SUM($B$106:B107)</f>
        <v>0</v>
      </c>
      <c r="D107" s="353" t="s">
        <v>484</v>
      </c>
      <c r="E107" s="352"/>
      <c r="F107" s="355">
        <f>I85</f>
        <v>0</v>
      </c>
      <c r="G107" s="97" t="s">
        <v>803</v>
      </c>
      <c r="H107" s="331" t="str">
        <f>D61&amp;J61&amp;P61&amp;V61&amp;AB61&amp;AH61</f>
        <v/>
      </c>
      <c r="I107" s="339" t="b">
        <f>IF(RIGHT(H107,2)=", ",TRUE,FALSE)</f>
        <v>0</v>
      </c>
      <c r="J107" s="339" t="str">
        <f>IF(I107=TRUE,(LEFT(H107,LEN(H107)-2)),H107)</f>
        <v/>
      </c>
      <c r="K107" s="339" t="b">
        <f>IF(LEN(J107)&gt;5,TRUE,FALSE)</f>
        <v>0</v>
      </c>
      <c r="L107" s="339" t="str">
        <f>IF(K107=TRUE,"responses","response")</f>
        <v>response</v>
      </c>
      <c r="M107" s="339" t="str">
        <f>IF(LEFT(RIGHT(J107,7),1)=",",LEFT(J107,LEN(J107)-7)&amp;" and"&amp;RIGHT(J107,6),J107)</f>
        <v/>
      </c>
      <c r="AL107" s="106"/>
      <c r="AM107" s="106"/>
      <c r="AP107" s="97"/>
      <c r="AS107"/>
      <c r="AT107" s="104"/>
      <c r="AW107"/>
      <c r="BA107"/>
    </row>
    <row r="108" spans="2:53">
      <c r="B108" s="352">
        <f t="shared" si="24"/>
        <v>0</v>
      </c>
      <c r="C108" s="353">
        <f>SUM($B$106:B108)</f>
        <v>0</v>
      </c>
      <c r="D108" s="353" t="s">
        <v>456</v>
      </c>
      <c r="E108" s="352"/>
      <c r="F108" s="355">
        <f>K85</f>
        <v>0</v>
      </c>
      <c r="I108" s="97" t="s">
        <v>511</v>
      </c>
      <c r="J108" s="331" t="b">
        <f>IF(COUNTIF(E66:E77,TRUE)&gt;0,TRUE,FALSE)</f>
        <v>0</v>
      </c>
      <c r="AL108" s="106"/>
      <c r="AM108" s="106"/>
      <c r="AP108" s="97"/>
      <c r="AS108"/>
      <c r="AT108" s="104"/>
      <c r="AW108"/>
      <c r="BA108"/>
    </row>
    <row r="109" spans="2:53">
      <c r="B109" s="352">
        <f t="shared" si="24"/>
        <v>0</v>
      </c>
      <c r="C109" s="353">
        <f>SUM($B$106:B109)</f>
        <v>0</v>
      </c>
      <c r="D109" s="353" t="s">
        <v>469</v>
      </c>
      <c r="E109" s="352"/>
      <c r="F109" s="355"/>
      <c r="I109" t="b">
        <v>1</v>
      </c>
      <c r="J109" t="str">
        <f>"Based on the "&amp;L106&amp;" given in "&amp;M106&amp;" within the Policy and Procedure tab, the following actions are for the charity to consider as part of incorporating these Policies or Procedures into your documentation"&amp;IF(D37=TRUE,J112,J113)</f>
        <v>Based on the response given in  within the Policy and Procedure tab, the following actions are for the charity to consider as part of incorporating these Policies or Procedures into your documentation
From the responses provided the charity has no Special Category data, and therefore there is no requirement for a Data Processing Impact Assessment. However, as a matter of good practice, DPIA's are recommended when processing any personal data.</v>
      </c>
      <c r="AL109" s="106"/>
      <c r="AM109" s="106"/>
      <c r="AP109" s="97"/>
      <c r="AS109"/>
      <c r="AT109" s="104"/>
      <c r="AW109"/>
      <c r="BA109"/>
    </row>
    <row r="110" spans="2:53">
      <c r="B110" s="352">
        <f t="shared" si="24"/>
        <v>0</v>
      </c>
      <c r="C110" s="353">
        <f>SUM($B$106:B110)</f>
        <v>0</v>
      </c>
      <c r="D110" s="353" t="s">
        <v>485</v>
      </c>
      <c r="E110" s="352"/>
      <c r="F110" s="355"/>
      <c r="I110" t="b">
        <v>0</v>
      </c>
      <c r="J110" t="str">
        <f>"There are no actions or recommendations to be made, based on the responses in the Policy and Procedures page. "&amp;IF(D37=TRUE,J112,J113)</f>
        <v>There are no actions or recommendations to be made, based on the responses in the Policy and Procedures page. 
From the responses provided the charity has no Special Category data, and therefore there is no requirement for a Data Processing Impact Assessment. However, as a matter of good practice, DPIA's are recommended when processing any personal data.</v>
      </c>
      <c r="AL110" s="106"/>
      <c r="AM110" s="106"/>
      <c r="AP110" s="97"/>
      <c r="AS110"/>
      <c r="AT110" s="104"/>
      <c r="AW110"/>
      <c r="BA110"/>
    </row>
    <row r="111" spans="2:53">
      <c r="B111" s="352">
        <f t="shared" si="24"/>
        <v>0</v>
      </c>
      <c r="C111" s="353">
        <f>SUM($B$106:B111)</f>
        <v>0</v>
      </c>
      <c r="D111" s="353" t="s">
        <v>472</v>
      </c>
      <c r="E111" s="352"/>
      <c r="F111" s="355" t="str">
        <f ca="1">IFERROR(IF(F107&gt;TODAY(),F107+365,""),"")</f>
        <v/>
      </c>
      <c r="I111" s="97" t="s">
        <v>804</v>
      </c>
      <c r="J111" s="331" t="b">
        <f>D37</f>
        <v>0</v>
      </c>
      <c r="AL111" s="106"/>
      <c r="AM111" s="106"/>
      <c r="AP111" s="97"/>
      <c r="AS111"/>
      <c r="AT111" s="104"/>
      <c r="AW111"/>
      <c r="BA111"/>
    </row>
    <row r="112" spans="2:53">
      <c r="B112" s="353">
        <f>IF(B111=1,1,0)</f>
        <v>0</v>
      </c>
      <c r="C112" s="353">
        <f>SUM($B$106:B112)</f>
        <v>0</v>
      </c>
      <c r="D112" s="353" t="str">
        <f>""</f>
        <v/>
      </c>
      <c r="E112" s="352"/>
      <c r="F112" s="356"/>
      <c r="I112" t="b">
        <v>1</v>
      </c>
      <c r="J112" t="str">
        <f>CHAR(10)&amp;"The Charity has Special Category data and therefore should verify if Data Processing Impact Assessments (DPIAs) are complete and up-to-date."</f>
        <v xml:space="preserve">
The Charity has Special Category data and therefore should verify if Data Processing Impact Assessments (DPIAs) are complete and up-to-date.</v>
      </c>
      <c r="AL112" s="106"/>
      <c r="AM112" s="106"/>
      <c r="AP112" s="97"/>
      <c r="AS112"/>
      <c r="AT112" s="104"/>
      <c r="AW112"/>
      <c r="BA112"/>
    </row>
    <row r="113" spans="2:53">
      <c r="B113" s="352">
        <f>IF($E$69=TRUE,1,0)</f>
        <v>0</v>
      </c>
      <c r="C113" s="353">
        <f>SUM($B$106:B113)</f>
        <v>0</v>
      </c>
      <c r="D113" s="357" t="s">
        <v>793</v>
      </c>
      <c r="E113" s="352"/>
      <c r="F113" s="356"/>
      <c r="I113" t="b">
        <v>0</v>
      </c>
      <c r="J113" t="str">
        <f>CHAR(10)&amp;"From the responses provided the charity has no Special Category data, and therefore there is no requirement for a Data Processing Impact Assessment. However, as a matter of good practice, DPIA's are recommended when processing any personal data."</f>
        <v xml:space="preserve">
From the responses provided the charity has no Special Category data, and therefore there is no requirement for a Data Processing Impact Assessment. However, as a matter of good practice, DPIA's are recommended when processing any personal data.</v>
      </c>
      <c r="AL113" s="106"/>
      <c r="AM113" s="106"/>
      <c r="AP113" s="97"/>
      <c r="AS113"/>
      <c r="AT113" s="104"/>
      <c r="AW113"/>
      <c r="BA113"/>
    </row>
    <row r="114" spans="2:53">
      <c r="B114" s="352">
        <f t="shared" ref="B114:B118" si="25">IF($E$69=TRUE,1,0)</f>
        <v>0</v>
      </c>
      <c r="C114" s="353">
        <f>SUM($B$106:B114)</f>
        <v>0</v>
      </c>
      <c r="D114" s="353" t="s">
        <v>794</v>
      </c>
      <c r="E114" s="352"/>
      <c r="F114" s="356">
        <f>I88</f>
        <v>0</v>
      </c>
      <c r="AL114" s="106"/>
      <c r="AM114" s="106"/>
      <c r="AP114" s="97"/>
      <c r="AS114"/>
      <c r="AT114" s="104"/>
      <c r="AW114"/>
      <c r="BA114"/>
    </row>
    <row r="115" spans="2:53">
      <c r="B115" s="352">
        <f t="shared" si="25"/>
        <v>0</v>
      </c>
      <c r="C115" s="353">
        <f>SUM($B$106:B115)</f>
        <v>0</v>
      </c>
      <c r="D115" s="353" t="s">
        <v>795</v>
      </c>
      <c r="E115" s="352"/>
      <c r="F115" s="356">
        <f>K88</f>
        <v>0</v>
      </c>
      <c r="I115" s="97" t="s">
        <v>809</v>
      </c>
      <c r="J115" s="331" t="b">
        <f>IF(H107="",FALSE,TRUE)</f>
        <v>0</v>
      </c>
      <c r="AL115" s="106"/>
      <c r="AM115" s="106"/>
      <c r="AP115" s="97"/>
      <c r="AS115"/>
      <c r="AT115" s="104"/>
      <c r="AW115"/>
      <c r="BA115"/>
    </row>
    <row r="116" spans="2:53">
      <c r="B116" s="352">
        <f t="shared" si="25"/>
        <v>0</v>
      </c>
      <c r="C116" s="353">
        <f>SUM($B$106:B116)</f>
        <v>0</v>
      </c>
      <c r="D116" s="353" t="s">
        <v>469</v>
      </c>
      <c r="E116" s="352"/>
      <c r="F116" s="356"/>
      <c r="I116" t="b">
        <v>1</v>
      </c>
      <c r="J116" t="str">
        <f>"From the "&amp;L107&amp;" provided in "&amp;M107&amp;" the charity is sending personal data outside of the European Economic Area and is advised to complete a Data Transfer Impact Assessment (DTIA) which should be undertaken before any Restricted Transfer is made."&amp;J118</f>
        <v>From the response provided in  the charity is sending personal data outside of the European Economic Area and is advised to complete a Data Transfer Impact Assessment (DTIA) which should be undertaken before any Restricted Transfer is made. Please review Restricted Transfer Considerations in P.2.e above</v>
      </c>
      <c r="AL116" s="106"/>
      <c r="AM116" s="106"/>
      <c r="AP116" s="97"/>
      <c r="AS116"/>
      <c r="AT116" s="104"/>
      <c r="AW116"/>
      <c r="BA116"/>
    </row>
    <row r="117" spans="2:53">
      <c r="B117" s="352">
        <f t="shared" si="25"/>
        <v>0</v>
      </c>
      <c r="C117" s="353">
        <f>SUM($B$106:B117)</f>
        <v>0</v>
      </c>
      <c r="D117" s="353" t="s">
        <v>796</v>
      </c>
      <c r="E117" s="352"/>
      <c r="F117" s="356"/>
      <c r="I117" t="b">
        <v>0</v>
      </c>
      <c r="J117" t="s">
        <v>812</v>
      </c>
      <c r="AL117" s="106"/>
      <c r="AM117" s="106"/>
      <c r="AP117" s="97"/>
      <c r="AS117"/>
      <c r="AT117" s="104"/>
      <c r="AW117"/>
      <c r="BA117"/>
    </row>
    <row r="118" spans="2:53">
      <c r="B118" s="352">
        <f t="shared" si="25"/>
        <v>0</v>
      </c>
      <c r="C118" s="353">
        <f>SUM($B$106:B118)</f>
        <v>0</v>
      </c>
      <c r="D118" s="353" t="s">
        <v>472</v>
      </c>
      <c r="E118" s="352"/>
      <c r="F118" s="355" t="str">
        <f ca="1">IFERROR(IF(F114&gt;TODAY(),F114+365,""),"")</f>
        <v/>
      </c>
      <c r="J118" t="s">
        <v>811</v>
      </c>
      <c r="AL118" s="106"/>
      <c r="AM118" s="106"/>
      <c r="AP118" s="97"/>
      <c r="AS118"/>
      <c r="AT118" s="104"/>
      <c r="AW118"/>
      <c r="BA118"/>
    </row>
    <row r="119" spans="2:53">
      <c r="B119" s="353">
        <f>IF(B118=1,1,0)</f>
        <v>0</v>
      </c>
      <c r="C119" s="353">
        <f>SUM($B$106:B119)</f>
        <v>0</v>
      </c>
      <c r="D119" s="353" t="str">
        <f>""</f>
        <v/>
      </c>
      <c r="E119" s="352"/>
      <c r="F119" s="356"/>
      <c r="AL119" s="106"/>
      <c r="AM119" s="106"/>
      <c r="AP119" s="97"/>
      <c r="AS119"/>
      <c r="AT119" s="104"/>
      <c r="AW119"/>
      <c r="BA119"/>
    </row>
    <row r="120" spans="2:53">
      <c r="B120" s="353">
        <f>IF(E68=TRUE,1,0)</f>
        <v>0</v>
      </c>
      <c r="C120" s="353">
        <f>SUM($B$106:B120)</f>
        <v>0</v>
      </c>
      <c r="D120" s="358" t="s">
        <v>455</v>
      </c>
      <c r="E120" s="353"/>
      <c r="F120" s="355"/>
      <c r="AL120" s="106"/>
      <c r="AM120" s="106"/>
      <c r="AP120" s="97"/>
      <c r="AS120"/>
      <c r="AT120" s="104"/>
      <c r="AW120"/>
      <c r="BA120"/>
    </row>
    <row r="121" spans="2:53">
      <c r="B121" s="353">
        <f>IF(E68=TRUE,1,0)</f>
        <v>0</v>
      </c>
      <c r="C121" s="353">
        <f>SUM($B$106:B121)</f>
        <v>0</v>
      </c>
      <c r="D121" s="353" t="s">
        <v>480</v>
      </c>
      <c r="E121" s="353"/>
      <c r="F121" s="355">
        <f>I87</f>
        <v>0</v>
      </c>
      <c r="AL121" s="106"/>
      <c r="AM121" s="106"/>
      <c r="AP121" s="97"/>
      <c r="AS121"/>
      <c r="AT121" s="104"/>
      <c r="AW121"/>
      <c r="BA121"/>
    </row>
    <row r="122" spans="2:53">
      <c r="B122" s="353">
        <f>IF(E68=TRUE,1,0)</f>
        <v>0</v>
      </c>
      <c r="C122" s="353">
        <f>SUM($B$106:B122)</f>
        <v>0</v>
      </c>
      <c r="D122" s="353" t="s">
        <v>656</v>
      </c>
      <c r="E122" s="353"/>
      <c r="F122" s="355"/>
      <c r="AL122" s="106"/>
      <c r="AM122" s="106"/>
      <c r="AP122" s="97"/>
      <c r="AS122"/>
      <c r="AT122" s="104"/>
      <c r="AW122"/>
      <c r="BA122"/>
    </row>
    <row r="123" spans="2:53">
      <c r="B123" s="353">
        <f>IF(E68=TRUE,1,0)</f>
        <v>0</v>
      </c>
      <c r="C123" s="353">
        <f>SUM($B$106:B123)</f>
        <v>0</v>
      </c>
      <c r="D123" s="353" t="s">
        <v>459</v>
      </c>
      <c r="E123" s="353"/>
      <c r="F123" s="355"/>
      <c r="AL123" s="106"/>
      <c r="AM123" s="106"/>
      <c r="AP123" s="97"/>
      <c r="AS123"/>
      <c r="AT123" s="104"/>
      <c r="AW123"/>
      <c r="BA123"/>
    </row>
    <row r="124" spans="2:53">
      <c r="B124" s="353">
        <f>IF(E68=TRUE,1,0)</f>
        <v>0</v>
      </c>
      <c r="C124" s="353">
        <f>SUM($B$106:B124)</f>
        <v>0</v>
      </c>
      <c r="D124" s="353" t="s">
        <v>456</v>
      </c>
      <c r="E124" s="353"/>
      <c r="F124" s="355">
        <f>K87</f>
        <v>0</v>
      </c>
      <c r="AL124" s="106"/>
      <c r="AM124" s="106"/>
      <c r="AP124" s="97"/>
      <c r="AS124"/>
      <c r="AT124" s="104"/>
      <c r="AW124"/>
      <c r="BA124"/>
    </row>
    <row r="125" spans="2:53">
      <c r="B125" s="353">
        <f>IF(E68=TRUE,1,0)</f>
        <v>0</v>
      </c>
      <c r="C125" s="353">
        <f>SUM($B$106:B125)</f>
        <v>0</v>
      </c>
      <c r="D125" s="353" t="s">
        <v>469</v>
      </c>
      <c r="E125" s="353"/>
      <c r="F125" s="355"/>
      <c r="AL125" s="106"/>
      <c r="AM125" s="106"/>
      <c r="AP125" s="97"/>
      <c r="AS125"/>
      <c r="AT125" s="104"/>
      <c r="AW125"/>
      <c r="BA125"/>
    </row>
    <row r="126" spans="2:53">
      <c r="B126" s="353">
        <f>IF(E68=TRUE,1,0)</f>
        <v>0</v>
      </c>
      <c r="C126" s="353">
        <f>SUM($B$106:B126)</f>
        <v>0</v>
      </c>
      <c r="D126" s="353" t="s">
        <v>457</v>
      </c>
      <c r="E126" s="353"/>
      <c r="F126" s="355"/>
      <c r="AL126" s="106"/>
      <c r="AM126" s="106"/>
      <c r="AP126" s="97"/>
      <c r="AS126"/>
      <c r="AT126" s="104"/>
      <c r="AW126"/>
      <c r="BA126"/>
    </row>
    <row r="127" spans="2:53">
      <c r="B127" s="353">
        <f>IF(E68=TRUE,1,0)</f>
        <v>0</v>
      </c>
      <c r="C127" s="353">
        <f>SUM($B$106:B127)</f>
        <v>0</v>
      </c>
      <c r="D127" s="353" t="s">
        <v>458</v>
      </c>
      <c r="E127" s="353"/>
      <c r="F127" s="355"/>
      <c r="AL127" s="106"/>
      <c r="AM127" s="106"/>
      <c r="AP127" s="97"/>
      <c r="AS127"/>
      <c r="AT127" s="104"/>
      <c r="AW127"/>
      <c r="BA127"/>
    </row>
    <row r="128" spans="2:53">
      <c r="B128" s="353">
        <f>IF(E68=TRUE,1,0)</f>
        <v>0</v>
      </c>
      <c r="C128" s="353">
        <f>SUM($B$106:B128)</f>
        <v>0</v>
      </c>
      <c r="D128" s="353" t="s">
        <v>472</v>
      </c>
      <c r="E128" s="353"/>
      <c r="F128" s="355" t="str">
        <f ca="1">IFERROR(IF(F121&gt;TODAY(),F121+365,""),"")</f>
        <v/>
      </c>
      <c r="AL128" s="106"/>
      <c r="AM128" s="106"/>
      <c r="AP128" s="97"/>
      <c r="AS128"/>
      <c r="AT128" s="104"/>
      <c r="AW128"/>
      <c r="BA128"/>
    </row>
    <row r="129" spans="2:53">
      <c r="B129" s="353">
        <f>IF(B128=1,1,0)</f>
        <v>0</v>
      </c>
      <c r="C129" s="353">
        <f>SUM($B$106:B129)</f>
        <v>0</v>
      </c>
      <c r="D129" s="353" t="str">
        <f>""</f>
        <v/>
      </c>
      <c r="E129" s="353"/>
      <c r="F129" s="355"/>
      <c r="AL129" s="106"/>
      <c r="AM129" s="106"/>
      <c r="AP129" s="97"/>
      <c r="AS129"/>
      <c r="AT129" s="104"/>
      <c r="AW129"/>
      <c r="BA129"/>
    </row>
    <row r="130" spans="2:53">
      <c r="B130" s="353">
        <f>IF(E70=TRUE,1,0)</f>
        <v>0</v>
      </c>
      <c r="C130" s="353">
        <f>SUM($B$106:B130)</f>
        <v>0</v>
      </c>
      <c r="D130" s="358" t="s">
        <v>454</v>
      </c>
      <c r="E130" s="353"/>
      <c r="F130" s="355"/>
      <c r="AL130" s="106"/>
      <c r="AM130" s="106"/>
      <c r="AP130" s="97"/>
      <c r="AS130"/>
      <c r="AT130" s="104"/>
      <c r="AW130"/>
      <c r="BA130"/>
    </row>
    <row r="131" spans="2:53">
      <c r="B131" s="353">
        <f>IF(E70=TRUE,1,0)</f>
        <v>0</v>
      </c>
      <c r="C131" s="353">
        <f>SUM($B$106:B131)</f>
        <v>0</v>
      </c>
      <c r="D131" s="353" t="s">
        <v>481</v>
      </c>
      <c r="E131" s="353"/>
      <c r="F131" s="355">
        <f>I89</f>
        <v>0</v>
      </c>
      <c r="AL131" s="106"/>
      <c r="AM131" s="106"/>
      <c r="AP131" s="97"/>
      <c r="AS131"/>
      <c r="AT131" s="104"/>
      <c r="AW131"/>
      <c r="BA131"/>
    </row>
    <row r="132" spans="2:53">
      <c r="B132" s="353">
        <f>IF(E70=TRUE,1,0)</f>
        <v>0</v>
      </c>
      <c r="C132" s="353">
        <f>SUM($B$106:B132)</f>
        <v>0</v>
      </c>
      <c r="D132" s="353" t="s">
        <v>460</v>
      </c>
      <c r="E132" s="353"/>
      <c r="F132" s="355"/>
      <c r="AL132" s="106"/>
      <c r="AM132" s="106"/>
      <c r="AP132" s="97"/>
      <c r="AS132"/>
      <c r="AT132" s="104"/>
      <c r="AW132"/>
      <c r="BA132"/>
    </row>
    <row r="133" spans="2:53">
      <c r="B133" s="353">
        <f>IF(E70=TRUE,1,0)</f>
        <v>0</v>
      </c>
      <c r="C133" s="353">
        <f>SUM($B$106:B133)</f>
        <v>0</v>
      </c>
      <c r="D133" s="353" t="s">
        <v>456</v>
      </c>
      <c r="E133" s="353"/>
      <c r="F133" s="355"/>
      <c r="AL133" s="106"/>
      <c r="AM133" s="106"/>
      <c r="AP133" s="97"/>
      <c r="AS133"/>
      <c r="AT133" s="104"/>
      <c r="AW133"/>
      <c r="BA133"/>
    </row>
    <row r="134" spans="2:53">
      <c r="B134" s="353">
        <f>IF(E70=TRUE,1,0)</f>
        <v>0</v>
      </c>
      <c r="C134" s="353">
        <f>SUM($B$106:B134)</f>
        <v>0</v>
      </c>
      <c r="D134" s="353" t="s">
        <v>469</v>
      </c>
      <c r="E134" s="353"/>
      <c r="F134" s="355"/>
      <c r="AM134" s="106"/>
      <c r="AN134" s="106"/>
      <c r="AQ134" s="97"/>
      <c r="AS134"/>
      <c r="AT134"/>
      <c r="AU134" s="104"/>
      <c r="AW134"/>
      <c r="BA134"/>
    </row>
    <row r="135" spans="2:53">
      <c r="B135" s="353">
        <f>IF(E70=TRUE,1,0)</f>
        <v>0</v>
      </c>
      <c r="C135" s="353">
        <f>SUM($B$106:B135)</f>
        <v>0</v>
      </c>
      <c r="D135" s="353" t="s">
        <v>461</v>
      </c>
      <c r="E135" s="353"/>
      <c r="F135" s="355">
        <f>K89</f>
        <v>0</v>
      </c>
      <c r="AM135" s="106"/>
      <c r="AN135" s="106"/>
      <c r="AQ135" s="97"/>
      <c r="AS135"/>
      <c r="AT135"/>
      <c r="AU135" s="104"/>
      <c r="AW135"/>
      <c r="BA135"/>
    </row>
    <row r="136" spans="2:53">
      <c r="B136" s="353">
        <f>IF(E70=TRUE,1,0)</f>
        <v>0</v>
      </c>
      <c r="C136" s="353">
        <f>SUM($B$106:B136)</f>
        <v>0</v>
      </c>
      <c r="D136" s="353" t="s">
        <v>462</v>
      </c>
      <c r="E136" s="353"/>
      <c r="F136" s="355"/>
      <c r="AM136" s="106"/>
      <c r="AN136" s="106"/>
      <c r="AQ136" s="97"/>
      <c r="AS136"/>
      <c r="AT136"/>
      <c r="AU136" s="104"/>
      <c r="AW136"/>
      <c r="BA136"/>
    </row>
    <row r="137" spans="2:53">
      <c r="B137" s="353">
        <f>IF(E70=TRUE,1,0)</f>
        <v>0</v>
      </c>
      <c r="C137" s="353">
        <f>SUM($B$106:B137)</f>
        <v>0</v>
      </c>
      <c r="D137" s="353" t="s">
        <v>463</v>
      </c>
      <c r="E137" s="353"/>
      <c r="F137" s="355"/>
      <c r="AM137" s="106"/>
      <c r="AN137" s="106"/>
      <c r="AQ137" s="97"/>
      <c r="AS137"/>
      <c r="AT137"/>
      <c r="AU137" s="104"/>
      <c r="AW137"/>
      <c r="BA137"/>
    </row>
    <row r="138" spans="2:53">
      <c r="B138" s="353">
        <f>IF(E70=TRUE,1,0)</f>
        <v>0</v>
      </c>
      <c r="C138" s="353">
        <f>SUM($B$106:B138)</f>
        <v>0</v>
      </c>
      <c r="D138" s="353" t="s">
        <v>464</v>
      </c>
      <c r="E138" s="353"/>
      <c r="F138" s="355"/>
      <c r="AM138" s="106"/>
      <c r="AN138" s="106"/>
      <c r="AQ138" s="97"/>
      <c r="AS138"/>
      <c r="AT138"/>
      <c r="AU138" s="104"/>
      <c r="AW138"/>
      <c r="BA138"/>
    </row>
    <row r="139" spans="2:53">
      <c r="B139" s="353">
        <f>IF(E70=TRUE,1,0)</f>
        <v>0</v>
      </c>
      <c r="C139" s="353">
        <f>SUM($B$106:B139)</f>
        <v>0</v>
      </c>
      <c r="D139" s="353" t="s">
        <v>472</v>
      </c>
      <c r="E139" s="353"/>
      <c r="F139" s="355" t="str">
        <f ca="1">IFERROR(IF(F131&gt;TODAY(),F131+365,""),"")</f>
        <v/>
      </c>
      <c r="AM139" s="106"/>
      <c r="AN139" s="106"/>
      <c r="AQ139" s="97"/>
      <c r="AS139"/>
      <c r="AT139"/>
      <c r="AU139" s="104"/>
      <c r="AW139"/>
      <c r="BA139"/>
    </row>
    <row r="140" spans="2:53">
      <c r="B140" s="353">
        <f>IF(B139=1,1,0)</f>
        <v>0</v>
      </c>
      <c r="C140" s="353">
        <f>SUM($B$106:B140)</f>
        <v>0</v>
      </c>
      <c r="D140" s="353" t="str">
        <f>""</f>
        <v/>
      </c>
      <c r="E140" s="353"/>
      <c r="F140" s="355"/>
      <c r="AM140" s="106"/>
      <c r="AN140" s="106"/>
      <c r="AQ140" s="97"/>
      <c r="AS140"/>
      <c r="AT140"/>
      <c r="AU140" s="104"/>
      <c r="AW140"/>
      <c r="BA140"/>
    </row>
    <row r="141" spans="2:53">
      <c r="B141" s="353">
        <f>IF(E72=TRUE,1,0)</f>
        <v>0</v>
      </c>
      <c r="C141" s="353">
        <f>SUM($B$106:B141)</f>
        <v>0</v>
      </c>
      <c r="D141" s="358" t="s">
        <v>453</v>
      </c>
      <c r="E141" s="353"/>
      <c r="F141" s="355"/>
      <c r="AM141" s="106"/>
      <c r="AN141" s="106"/>
      <c r="AQ141" s="97"/>
      <c r="AS141"/>
      <c r="AT141"/>
      <c r="AU141" s="104"/>
      <c r="AW141"/>
      <c r="BA141"/>
    </row>
    <row r="142" spans="2:53">
      <c r="B142" s="353">
        <f>IF(E72=TRUE,1,0)</f>
        <v>0</v>
      </c>
      <c r="C142" s="353">
        <f>SUM($B$106:B142)</f>
        <v>0</v>
      </c>
      <c r="D142" s="353" t="s">
        <v>488</v>
      </c>
      <c r="E142" s="353"/>
      <c r="F142" s="355">
        <f>I91</f>
        <v>0</v>
      </c>
      <c r="AM142" s="106"/>
      <c r="AN142" s="106"/>
      <c r="AQ142" s="97"/>
      <c r="AS142"/>
      <c r="AT142"/>
      <c r="AU142" s="104"/>
      <c r="AW142"/>
      <c r="BA142"/>
    </row>
    <row r="143" spans="2:53">
      <c r="B143" s="353">
        <f>IF(E72=TRUE,1,0)</f>
        <v>0</v>
      </c>
      <c r="C143" s="353">
        <f>SUM($B$106:B143)</f>
        <v>0</v>
      </c>
      <c r="D143" s="353" t="s">
        <v>471</v>
      </c>
      <c r="E143" s="353"/>
      <c r="F143" s="355"/>
      <c r="AM143" s="106"/>
      <c r="AN143" s="106"/>
      <c r="AQ143" s="97"/>
      <c r="AS143"/>
      <c r="AT143"/>
      <c r="AU143" s="104"/>
      <c r="AW143"/>
      <c r="BA143"/>
    </row>
    <row r="144" spans="2:53">
      <c r="B144" s="353">
        <f>IF(E72=TRUE,1,0)</f>
        <v>0</v>
      </c>
      <c r="C144" s="353">
        <f>SUM($B$106:B144)</f>
        <v>0</v>
      </c>
      <c r="D144" s="353" t="s">
        <v>474</v>
      </c>
      <c r="E144" s="353"/>
      <c r="F144" s="355"/>
      <c r="AM144" s="106"/>
      <c r="AN144" s="106"/>
      <c r="AQ144" s="97"/>
      <c r="AS144"/>
      <c r="AT144"/>
      <c r="AU144" s="104"/>
      <c r="AW144"/>
      <c r="BA144"/>
    </row>
    <row r="145" spans="2:53">
      <c r="B145" s="353">
        <f>IF(E72=TRUE,1,0)</f>
        <v>0</v>
      </c>
      <c r="C145" s="353">
        <f>SUM($B$106:B145)</f>
        <v>0</v>
      </c>
      <c r="D145" s="353" t="s">
        <v>469</v>
      </c>
      <c r="E145" s="353"/>
      <c r="F145" s="355"/>
      <c r="AM145" s="106"/>
      <c r="AN145" s="106"/>
      <c r="AQ145" s="97"/>
      <c r="AS145"/>
      <c r="AT145"/>
      <c r="AU145" s="104"/>
      <c r="AW145"/>
      <c r="BA145"/>
    </row>
    <row r="146" spans="2:53">
      <c r="B146" s="353">
        <f>IF(E72=TRUE,1,0)</f>
        <v>0</v>
      </c>
      <c r="C146" s="353">
        <f>SUM($B$106:B146)</f>
        <v>0</v>
      </c>
      <c r="D146" s="353" t="s">
        <v>473</v>
      </c>
      <c r="E146" s="353"/>
      <c r="F146" s="355"/>
      <c r="AM146" s="106"/>
      <c r="AN146" s="106"/>
      <c r="AQ146" s="97"/>
      <c r="AS146"/>
      <c r="AT146"/>
      <c r="AU146" s="104"/>
      <c r="AW146"/>
      <c r="BA146"/>
    </row>
    <row r="147" spans="2:53">
      <c r="B147" s="353">
        <f>IF(E72=TRUE,1,0)</f>
        <v>0</v>
      </c>
      <c r="C147" s="353">
        <f>SUM($B$106:B147)</f>
        <v>0</v>
      </c>
      <c r="D147" s="353" t="s">
        <v>478</v>
      </c>
      <c r="E147" s="353"/>
      <c r="F147" s="355"/>
      <c r="AM147" s="106"/>
      <c r="AN147" s="106"/>
      <c r="AQ147" s="97"/>
      <c r="AS147"/>
      <c r="AT147"/>
      <c r="AU147" s="104"/>
      <c r="AW147"/>
      <c r="BA147"/>
    </row>
    <row r="148" spans="2:53">
      <c r="B148" s="353">
        <f>IF(E72=TRUE,1,0)</f>
        <v>0</v>
      </c>
      <c r="C148" s="353">
        <f>SUM($B$106:B148)</f>
        <v>0</v>
      </c>
      <c r="D148" s="353" t="s">
        <v>489</v>
      </c>
      <c r="E148" s="353"/>
      <c r="F148" s="355">
        <f>K91</f>
        <v>0</v>
      </c>
      <c r="AM148" s="106"/>
      <c r="AN148" s="106"/>
      <c r="AQ148" s="97"/>
      <c r="AS148"/>
      <c r="AT148"/>
      <c r="AU148" s="104"/>
      <c r="AW148"/>
      <c r="BA148"/>
    </row>
    <row r="149" spans="2:53">
      <c r="B149" s="353">
        <f>IF(E72=TRUE,1,0)</f>
        <v>0</v>
      </c>
      <c r="C149" s="353">
        <f>SUM($B$106:B149)</f>
        <v>0</v>
      </c>
      <c r="D149" s="353" t="s">
        <v>475</v>
      </c>
      <c r="E149" s="353"/>
      <c r="F149" s="355"/>
      <c r="AM149" s="106"/>
      <c r="AN149" s="106"/>
      <c r="AQ149" s="97"/>
      <c r="AS149"/>
      <c r="AT149"/>
      <c r="AU149" s="104"/>
      <c r="AW149"/>
      <c r="BA149"/>
    </row>
    <row r="150" spans="2:53">
      <c r="B150" s="353">
        <f>IF(E72=TRUE,1,0)</f>
        <v>0</v>
      </c>
      <c r="C150" s="353">
        <f>SUM($B$106:B150)</f>
        <v>0</v>
      </c>
      <c r="D150" s="353" t="s">
        <v>472</v>
      </c>
      <c r="E150" s="353"/>
      <c r="F150" s="355" t="str">
        <f ca="1">IFERROR(IF(F142&gt;TODAY(),F142+365,""),"")</f>
        <v/>
      </c>
      <c r="AM150" s="106"/>
      <c r="AN150" s="106"/>
      <c r="AQ150" s="97"/>
      <c r="AS150"/>
      <c r="AT150"/>
      <c r="AU150" s="104"/>
      <c r="AW150"/>
      <c r="BA150"/>
    </row>
    <row r="151" spans="2:53">
      <c r="B151" s="353">
        <f>IF(B150=1,1,0)</f>
        <v>0</v>
      </c>
      <c r="C151" s="353">
        <f>SUM($B$106:B151)</f>
        <v>0</v>
      </c>
      <c r="D151" s="353" t="str">
        <f>""</f>
        <v/>
      </c>
      <c r="E151" s="357"/>
      <c r="F151" s="359"/>
      <c r="AM151" s="106"/>
      <c r="AN151" s="106"/>
      <c r="AQ151" s="97"/>
      <c r="AS151"/>
      <c r="AT151"/>
      <c r="AU151" s="104"/>
      <c r="AW151"/>
      <c r="BA151"/>
    </row>
    <row r="152" spans="2:53">
      <c r="B152" s="353">
        <f>IF($E$73=TRUE,1,0)</f>
        <v>0</v>
      </c>
      <c r="C152" s="353">
        <f>SUM($B$106:B152)</f>
        <v>0</v>
      </c>
      <c r="D152" s="358" t="s">
        <v>452</v>
      </c>
      <c r="E152" s="357"/>
      <c r="F152" s="359"/>
      <c r="AM152" s="106"/>
      <c r="AN152" s="106"/>
      <c r="AQ152" s="97"/>
      <c r="AS152"/>
      <c r="AT152"/>
      <c r="AU152" s="104"/>
      <c r="AW152"/>
      <c r="BA152"/>
    </row>
    <row r="153" spans="2:53">
      <c r="B153" s="353">
        <f t="shared" ref="B153:B159" si="26">IF($E$73=TRUE,1,0)</f>
        <v>0</v>
      </c>
      <c r="C153" s="353">
        <f>SUM($B$106:B153)</f>
        <v>0</v>
      </c>
      <c r="D153" s="353" t="s">
        <v>482</v>
      </c>
      <c r="E153" s="357"/>
      <c r="F153" s="355">
        <f>I92</f>
        <v>0</v>
      </c>
      <c r="AM153" s="106"/>
      <c r="AN153" s="106"/>
      <c r="AQ153" s="97"/>
      <c r="AS153"/>
      <c r="AT153"/>
      <c r="AU153" s="104"/>
      <c r="AW153"/>
      <c r="BA153"/>
    </row>
    <row r="154" spans="2:53">
      <c r="B154" s="353">
        <f t="shared" si="26"/>
        <v>0</v>
      </c>
      <c r="C154" s="353">
        <f>SUM($B$106:B154)</f>
        <v>0</v>
      </c>
      <c r="D154" s="353" t="s">
        <v>487</v>
      </c>
      <c r="E154" s="357"/>
      <c r="F154" s="355"/>
      <c r="AM154" s="106"/>
      <c r="AN154" s="106"/>
      <c r="AQ154" s="97"/>
      <c r="AS154"/>
      <c r="AT154"/>
      <c r="AU154" s="104"/>
      <c r="AW154"/>
      <c r="BA154"/>
    </row>
    <row r="155" spans="2:53">
      <c r="B155" s="353">
        <f t="shared" si="26"/>
        <v>0</v>
      </c>
      <c r="C155" s="353">
        <f>SUM($B$106:B155)</f>
        <v>0</v>
      </c>
      <c r="D155" s="353" t="s">
        <v>451</v>
      </c>
      <c r="E155" s="357"/>
      <c r="F155" s="355"/>
      <c r="AM155" s="106"/>
      <c r="AN155" s="106"/>
      <c r="AQ155" s="97"/>
      <c r="AS155"/>
      <c r="AT155"/>
      <c r="AU155" s="104"/>
      <c r="AW155"/>
      <c r="BA155"/>
    </row>
    <row r="156" spans="2:53">
      <c r="B156" s="353">
        <f t="shared" si="26"/>
        <v>0</v>
      </c>
      <c r="C156" s="353">
        <f>SUM($B$106:B156)</f>
        <v>0</v>
      </c>
      <c r="D156" s="353" t="s">
        <v>476</v>
      </c>
      <c r="E156" s="357"/>
      <c r="F156" s="355">
        <f>K92</f>
        <v>0</v>
      </c>
      <c r="AM156" s="106"/>
      <c r="AN156" s="106"/>
      <c r="AQ156" s="97"/>
      <c r="AS156"/>
      <c r="AT156"/>
      <c r="AU156" s="104"/>
      <c r="AW156"/>
      <c r="BA156"/>
    </row>
    <row r="157" spans="2:53">
      <c r="B157" s="353">
        <f t="shared" si="26"/>
        <v>0</v>
      </c>
      <c r="C157" s="353">
        <f>SUM($B$106:B157)</f>
        <v>0</v>
      </c>
      <c r="D157" s="353" t="s">
        <v>477</v>
      </c>
      <c r="E157" s="357"/>
      <c r="F157" s="359"/>
      <c r="AM157" s="106"/>
      <c r="AN157" s="106"/>
      <c r="AQ157" s="97"/>
      <c r="AS157"/>
      <c r="AT157"/>
      <c r="AU157" s="104"/>
      <c r="AW157"/>
      <c r="BA157"/>
    </row>
    <row r="158" spans="2:53">
      <c r="B158" s="353">
        <f t="shared" si="26"/>
        <v>0</v>
      </c>
      <c r="C158" s="353">
        <f>SUM($B$106:B158)</f>
        <v>0</v>
      </c>
      <c r="D158" s="353" t="s">
        <v>486</v>
      </c>
      <c r="E158" s="357"/>
      <c r="F158" s="359"/>
      <c r="AM158" s="106"/>
      <c r="AN158" s="106"/>
      <c r="AQ158" s="97"/>
      <c r="AS158"/>
      <c r="AT158"/>
      <c r="AU158" s="104"/>
      <c r="AW158"/>
      <c r="BA158"/>
    </row>
    <row r="159" spans="2:53">
      <c r="B159" s="353">
        <f t="shared" si="26"/>
        <v>0</v>
      </c>
      <c r="C159" s="353">
        <f>SUM($B$106:B159)</f>
        <v>0</v>
      </c>
      <c r="D159" s="353" t="s">
        <v>472</v>
      </c>
      <c r="E159" s="357"/>
      <c r="F159" s="355" t="str">
        <f ca="1">IFERROR(IF(F153&gt;TODAY(),F153+365,""),"")</f>
        <v/>
      </c>
      <c r="AM159" s="106"/>
      <c r="AN159" s="106"/>
      <c r="AQ159" s="97"/>
      <c r="AS159"/>
      <c r="AT159"/>
      <c r="AU159" s="104"/>
      <c r="AW159"/>
      <c r="BA159"/>
    </row>
    <row r="160" spans="2:53">
      <c r="B160" s="353">
        <f>IF(B159=1,1,0)</f>
        <v>0</v>
      </c>
      <c r="C160" s="353">
        <f>SUM($B$106:B160)</f>
        <v>0</v>
      </c>
      <c r="D160" s="357" t="str">
        <f>""</f>
        <v/>
      </c>
      <c r="E160" s="357"/>
      <c r="F160" s="359"/>
    </row>
    <row r="161" spans="2:6">
      <c r="B161" s="353">
        <f>IF($E$71=TRUE,1,0)</f>
        <v>0</v>
      </c>
      <c r="C161" s="353">
        <f>SUM($B$106:B161)</f>
        <v>0</v>
      </c>
      <c r="D161" s="358" t="s">
        <v>490</v>
      </c>
      <c r="E161" s="357"/>
      <c r="F161" s="359"/>
    </row>
    <row r="162" spans="2:6">
      <c r="B162" s="353">
        <f t="shared" ref="B162:B168" si="27">IF($E$71=TRUE,1,0)</f>
        <v>0</v>
      </c>
      <c r="C162" s="353">
        <f>SUM($B$106:B162)</f>
        <v>0</v>
      </c>
      <c r="D162" s="353" t="s">
        <v>491</v>
      </c>
      <c r="E162" s="357"/>
      <c r="F162" s="355">
        <f>I90</f>
        <v>0</v>
      </c>
    </row>
    <row r="163" spans="2:6">
      <c r="B163" s="353">
        <f t="shared" si="27"/>
        <v>0</v>
      </c>
      <c r="C163" s="353">
        <f>SUM($B$106:B163)</f>
        <v>0</v>
      </c>
      <c r="D163" s="353" t="s">
        <v>492</v>
      </c>
      <c r="E163" s="357"/>
      <c r="F163" s="355"/>
    </row>
    <row r="164" spans="2:6">
      <c r="B164" s="353">
        <f t="shared" si="27"/>
        <v>0</v>
      </c>
      <c r="C164" s="353">
        <f>SUM($B$106:B164)</f>
        <v>0</v>
      </c>
      <c r="D164" s="353" t="s">
        <v>493</v>
      </c>
      <c r="E164" s="357"/>
      <c r="F164" s="355"/>
    </row>
    <row r="165" spans="2:6">
      <c r="B165" s="353">
        <f t="shared" si="27"/>
        <v>0</v>
      </c>
      <c r="C165" s="353">
        <f>SUM($B$106:B165)</f>
        <v>0</v>
      </c>
      <c r="D165" s="353" t="s">
        <v>494</v>
      </c>
      <c r="E165" s="357"/>
      <c r="F165" s="355"/>
    </row>
    <row r="166" spans="2:6">
      <c r="B166" s="353">
        <f t="shared" si="27"/>
        <v>0</v>
      </c>
      <c r="C166" s="353">
        <f>SUM($B$106:B166)</f>
        <v>0</v>
      </c>
      <c r="D166" s="353" t="s">
        <v>495</v>
      </c>
      <c r="E166" s="357"/>
      <c r="F166" s="355">
        <f>K90</f>
        <v>0</v>
      </c>
    </row>
    <row r="167" spans="2:6">
      <c r="B167" s="353">
        <f t="shared" si="27"/>
        <v>0</v>
      </c>
      <c r="C167" s="353">
        <f>SUM($B$106:B167)</f>
        <v>0</v>
      </c>
      <c r="D167" s="353" t="s">
        <v>496</v>
      </c>
      <c r="E167" s="357"/>
      <c r="F167" s="355"/>
    </row>
    <row r="168" spans="2:6">
      <c r="B168" s="353">
        <f t="shared" si="27"/>
        <v>0</v>
      </c>
      <c r="C168" s="353">
        <f>SUM($B$106:B168)</f>
        <v>0</v>
      </c>
      <c r="D168" s="353" t="s">
        <v>472</v>
      </c>
      <c r="E168" s="357"/>
      <c r="F168" s="355" t="str">
        <f ca="1">IFERROR(IF(F162&gt;TODAY(),F162+365,""),"")</f>
        <v/>
      </c>
    </row>
    <row r="169" spans="2:6">
      <c r="B169" s="353">
        <f>IF(B168=1,1,0)</f>
        <v>0</v>
      </c>
      <c r="C169" s="353">
        <f>SUM($B$106:B169)</f>
        <v>0</v>
      </c>
      <c r="D169" s="353" t="str">
        <f>""</f>
        <v/>
      </c>
      <c r="E169" s="357"/>
      <c r="F169" s="359"/>
    </row>
    <row r="170" spans="2:6">
      <c r="B170" s="353">
        <f>IF($E$67=TRUE,1,0)</f>
        <v>0</v>
      </c>
      <c r="C170" s="353">
        <f>SUM($B$106:B170)</f>
        <v>0</v>
      </c>
      <c r="D170" s="358" t="s">
        <v>654</v>
      </c>
      <c r="E170" s="357"/>
      <c r="F170" s="359"/>
    </row>
    <row r="171" spans="2:6">
      <c r="B171" s="353">
        <f>IF($E$67=TRUE,1,0)</f>
        <v>0</v>
      </c>
      <c r="C171" s="353">
        <f>SUM($B$106:B171)</f>
        <v>0</v>
      </c>
      <c r="D171" s="353" t="s">
        <v>655</v>
      </c>
      <c r="E171" s="357"/>
      <c r="F171" s="359">
        <f>I86</f>
        <v>0</v>
      </c>
    </row>
    <row r="172" spans="2:6">
      <c r="B172" s="353">
        <f>IF($E$67=TRUE,1,0)</f>
        <v>0</v>
      </c>
      <c r="C172" s="353">
        <f>SUM($B$106:B172)</f>
        <v>0</v>
      </c>
      <c r="D172" s="353" t="s">
        <v>456</v>
      </c>
      <c r="E172" s="357"/>
      <c r="F172" s="359">
        <f>K86</f>
        <v>0</v>
      </c>
    </row>
    <row r="173" spans="2:6">
      <c r="B173" s="353">
        <f>IF($E$67=TRUE,1,0)</f>
        <v>0</v>
      </c>
      <c r="C173" s="353">
        <f>SUM($B$106:B173)</f>
        <v>0</v>
      </c>
      <c r="D173" s="353" t="s">
        <v>469</v>
      </c>
      <c r="E173" s="357"/>
      <c r="F173" s="359"/>
    </row>
    <row r="174" spans="2:6">
      <c r="B174" s="353">
        <f>IF($E$67=TRUE,1,0)</f>
        <v>0</v>
      </c>
      <c r="C174" s="353">
        <f>SUM($B$106:B174)</f>
        <v>0</v>
      </c>
      <c r="D174" s="353" t="s">
        <v>689</v>
      </c>
      <c r="E174" s="357"/>
      <c r="F174" s="359" t="str">
        <f ca="1">IFERROR(IF(F171&gt;TODAY(),F171+365,""),"")</f>
        <v/>
      </c>
    </row>
    <row r="175" spans="2:6">
      <c r="B175" s="353">
        <f>IF(B174=1,1,0)</f>
        <v>0</v>
      </c>
      <c r="C175" s="353">
        <f>SUM($B$106:B175)</f>
        <v>0</v>
      </c>
      <c r="D175" s="353" t="str">
        <f>""</f>
        <v/>
      </c>
      <c r="E175" s="357"/>
      <c r="F175" s="359"/>
    </row>
    <row r="176" spans="2:6">
      <c r="B176" s="353">
        <f>IF($E$74=TRUE,1,0)</f>
        <v>0</v>
      </c>
      <c r="C176" s="353">
        <f>SUM($B$106:B176)</f>
        <v>0</v>
      </c>
      <c r="D176" s="358" t="s">
        <v>688</v>
      </c>
      <c r="E176" s="357"/>
      <c r="F176" s="359"/>
    </row>
    <row r="177" spans="2:6">
      <c r="B177" s="353">
        <f>IF($E$74=TRUE,1,0)</f>
        <v>0</v>
      </c>
      <c r="C177" s="353">
        <f>SUM($B$106:B177)</f>
        <v>0</v>
      </c>
      <c r="D177" s="353" t="s">
        <v>691</v>
      </c>
      <c r="E177" s="357"/>
      <c r="F177" s="359">
        <f>I93</f>
        <v>0</v>
      </c>
    </row>
    <row r="178" spans="2:6">
      <c r="B178" s="353">
        <f>IF($E$74=TRUE,1,0)</f>
        <v>0</v>
      </c>
      <c r="C178" s="353">
        <f>SUM($B$106:B178)</f>
        <v>0</v>
      </c>
      <c r="D178" s="353" t="s">
        <v>456</v>
      </c>
      <c r="E178" s="357"/>
      <c r="F178" s="359">
        <f>K93</f>
        <v>0</v>
      </c>
    </row>
    <row r="179" spans="2:6">
      <c r="B179" s="353">
        <f>IF($E$74=TRUE,1,0)</f>
        <v>0</v>
      </c>
      <c r="C179" s="353">
        <f>SUM($B$106:B179)</f>
        <v>0</v>
      </c>
      <c r="D179" s="353" t="s">
        <v>469</v>
      </c>
      <c r="E179" s="357"/>
      <c r="F179" s="359"/>
    </row>
    <row r="180" spans="2:6">
      <c r="B180" s="353">
        <f>IF($E$74=TRUE,1,0)</f>
        <v>0</v>
      </c>
      <c r="C180" s="353">
        <f>SUM($B$106:B180)</f>
        <v>0</v>
      </c>
      <c r="D180" s="353" t="s">
        <v>689</v>
      </c>
      <c r="E180" s="357"/>
      <c r="F180" s="359" t="str">
        <f ca="1">IFERROR(IF(F177&gt;TODAY(),F177+365,""),"")</f>
        <v/>
      </c>
    </row>
    <row r="181" spans="2:6">
      <c r="B181" s="353">
        <f>IF(B180=1,1,0)</f>
        <v>0</v>
      </c>
      <c r="C181" s="353">
        <f>SUM($B$106:B181)</f>
        <v>0</v>
      </c>
      <c r="D181" s="353" t="str">
        <f>""</f>
        <v/>
      </c>
      <c r="E181" s="357"/>
      <c r="F181" s="359"/>
    </row>
    <row r="182" spans="2:6">
      <c r="B182" s="353">
        <f>IF($E$75=TRUE,1,0)</f>
        <v>0</v>
      </c>
      <c r="C182" s="353">
        <f>SUM($B$106:B182)</f>
        <v>0</v>
      </c>
      <c r="D182" s="358" t="s">
        <v>690</v>
      </c>
      <c r="E182" s="357"/>
      <c r="F182" s="359"/>
    </row>
    <row r="183" spans="2:6">
      <c r="B183" s="353">
        <f>IF($E$75=TRUE,1,0)</f>
        <v>0</v>
      </c>
      <c r="C183" s="353">
        <f>SUM($B$106:B183)</f>
        <v>0</v>
      </c>
      <c r="D183" s="353" t="s">
        <v>692</v>
      </c>
      <c r="E183" s="357"/>
      <c r="F183" s="359">
        <f>I94</f>
        <v>0</v>
      </c>
    </row>
    <row r="184" spans="2:6">
      <c r="B184" s="353">
        <f>IF($E$75=TRUE,1,0)</f>
        <v>0</v>
      </c>
      <c r="C184" s="353">
        <f>SUM($B$106:B184)</f>
        <v>0</v>
      </c>
      <c r="D184" s="353" t="s">
        <v>456</v>
      </c>
      <c r="E184" s="357"/>
      <c r="F184" s="359">
        <f>K94</f>
        <v>0</v>
      </c>
    </row>
    <row r="185" spans="2:6">
      <c r="B185" s="353">
        <f>IF($E$75=TRUE,1,0)</f>
        <v>0</v>
      </c>
      <c r="C185" s="353">
        <f>SUM($B$106:B185)</f>
        <v>0</v>
      </c>
      <c r="D185" s="353" t="s">
        <v>469</v>
      </c>
      <c r="E185" s="357"/>
      <c r="F185" s="359"/>
    </row>
    <row r="186" spans="2:6">
      <c r="B186" s="353">
        <f>IF($E$75=TRUE,1,0)</f>
        <v>0</v>
      </c>
      <c r="C186" s="353">
        <f>SUM($B$106:B186)</f>
        <v>0</v>
      </c>
      <c r="D186" s="353" t="s">
        <v>689</v>
      </c>
      <c r="E186" s="357"/>
      <c r="F186" s="359" t="str">
        <f ca="1">IFERROR(IF(F183&gt;TODAY(),F183+365,""),"")</f>
        <v/>
      </c>
    </row>
    <row r="187" spans="2:6">
      <c r="B187" s="353">
        <f>IF(B186=1,1,0)</f>
        <v>0</v>
      </c>
      <c r="C187" s="353">
        <f>SUM($B$106:B187)</f>
        <v>0</v>
      </c>
      <c r="D187" s="353" t="str">
        <f>""</f>
        <v/>
      </c>
      <c r="E187" s="357"/>
      <c r="F187" s="359"/>
    </row>
    <row r="188" spans="2:6">
      <c r="B188" s="353">
        <f>IF($E$76=TRUE,1,0)</f>
        <v>0</v>
      </c>
      <c r="C188" s="353">
        <f>SUM($B$106:B188)</f>
        <v>0</v>
      </c>
      <c r="D188" s="358" t="s">
        <v>800</v>
      </c>
      <c r="E188" s="357"/>
      <c r="F188" s="359"/>
    </row>
    <row r="189" spans="2:6">
      <c r="B189" s="353">
        <f t="shared" ref="B189:B192" si="28">IF($E$76=TRUE,1,0)</f>
        <v>0</v>
      </c>
      <c r="C189" s="353">
        <f>SUM($B$106:B189)</f>
        <v>0</v>
      </c>
      <c r="D189" s="353" t="s">
        <v>693</v>
      </c>
      <c r="E189" s="357"/>
      <c r="F189" s="359">
        <f>I95</f>
        <v>0</v>
      </c>
    </row>
    <row r="190" spans="2:6">
      <c r="B190" s="353">
        <f t="shared" si="28"/>
        <v>0</v>
      </c>
      <c r="C190" s="353">
        <f>SUM($B$106:B190)</f>
        <v>0</v>
      </c>
      <c r="D190" s="353" t="s">
        <v>456</v>
      </c>
      <c r="E190" s="357"/>
      <c r="F190" s="359">
        <f>K95</f>
        <v>0</v>
      </c>
    </row>
    <row r="191" spans="2:6">
      <c r="B191" s="353">
        <f t="shared" si="28"/>
        <v>0</v>
      </c>
      <c r="C191" s="353">
        <f>SUM($B$106:B191)</f>
        <v>0</v>
      </c>
      <c r="D191" s="353" t="s">
        <v>469</v>
      </c>
      <c r="E191" s="357"/>
      <c r="F191" s="359"/>
    </row>
    <row r="192" spans="2:6">
      <c r="B192" s="353">
        <f t="shared" si="28"/>
        <v>0</v>
      </c>
      <c r="C192" s="353">
        <f>SUM($B$106:B192)</f>
        <v>0</v>
      </c>
      <c r="D192" s="353" t="s">
        <v>689</v>
      </c>
      <c r="E192" s="357"/>
      <c r="F192" s="359" t="str">
        <f ca="1">IFERROR(IF(F189&gt;TODAY(),F189+365,""),"")</f>
        <v/>
      </c>
    </row>
    <row r="193" spans="2:6">
      <c r="B193" s="353">
        <f>IF(B192=1,1,0)</f>
        <v>0</v>
      </c>
      <c r="C193" s="353">
        <f>SUM($B$106:B193)</f>
        <v>0</v>
      </c>
      <c r="D193" s="353" t="str">
        <f>""</f>
        <v/>
      </c>
      <c r="E193" s="357"/>
      <c r="F193" s="359"/>
    </row>
    <row r="194" spans="2:6">
      <c r="B194" s="353">
        <f>IF($E$77=TRUE,1,0)</f>
        <v>0</v>
      </c>
      <c r="C194" s="353">
        <f>SUM($B$106:B194)</f>
        <v>0</v>
      </c>
      <c r="D194" s="358" t="s">
        <v>749</v>
      </c>
      <c r="E194" s="357"/>
      <c r="F194" s="359"/>
    </row>
    <row r="195" spans="2:6">
      <c r="B195" s="353">
        <f>IF($E$77=TRUE,1,0)</f>
        <v>0</v>
      </c>
      <c r="C195" s="353">
        <f>SUM($B$106:B195)</f>
        <v>0</v>
      </c>
      <c r="D195" s="353" t="s">
        <v>694</v>
      </c>
      <c r="E195" s="357"/>
      <c r="F195" s="359">
        <f>I96</f>
        <v>0</v>
      </c>
    </row>
    <row r="196" spans="2:6">
      <c r="B196" s="353">
        <f>IF($E$77=TRUE,1,0)</f>
        <v>0</v>
      </c>
      <c r="C196" s="353">
        <f>SUM($B$106:B196)</f>
        <v>0</v>
      </c>
      <c r="D196" s="353" t="s">
        <v>456</v>
      </c>
      <c r="E196" s="357"/>
      <c r="F196" s="359">
        <f>K96</f>
        <v>0</v>
      </c>
    </row>
    <row r="197" spans="2:6">
      <c r="B197" s="353">
        <f>IF($E$77=TRUE,1,0)</f>
        <v>0</v>
      </c>
      <c r="C197" s="353">
        <f>SUM($B$106:B197)</f>
        <v>0</v>
      </c>
      <c r="D197" s="353" t="s">
        <v>469</v>
      </c>
      <c r="E197" s="357"/>
      <c r="F197" s="359"/>
    </row>
    <row r="198" spans="2:6">
      <c r="B198" s="353">
        <f>IF($E$77=TRUE,1,0)</f>
        <v>0</v>
      </c>
      <c r="C198" s="353">
        <f>SUM($B$106:B198)</f>
        <v>0</v>
      </c>
      <c r="D198" s="353" t="s">
        <v>689</v>
      </c>
      <c r="E198" s="357"/>
      <c r="F198" s="359" t="str">
        <f ca="1">IFERROR(IF(F195&gt;TODAY(),F195+365,""),"")</f>
        <v/>
      </c>
    </row>
    <row r="199" spans="2:6">
      <c r="B199" s="353">
        <f>IF(B198=1,1,0)</f>
        <v>0</v>
      </c>
      <c r="C199" s="353">
        <f>SUM($B$106:B199)</f>
        <v>0</v>
      </c>
      <c r="D199" s="353" t="str">
        <f>""</f>
        <v/>
      </c>
      <c r="E199" s="357"/>
      <c r="F199" s="359"/>
    </row>
    <row r="200" spans="2:6">
      <c r="B200" s="353">
        <f>IF($E$97=TRUE,1,0)</f>
        <v>0</v>
      </c>
      <c r="C200" s="353">
        <f>SUM($B$106:B200)</f>
        <v>0</v>
      </c>
      <c r="D200" s="358" t="s">
        <v>797</v>
      </c>
      <c r="E200" s="357"/>
      <c r="F200" s="359"/>
    </row>
    <row r="201" spans="2:6">
      <c r="B201" s="353">
        <f t="shared" ref="B201:B204" si="29">IF($E$97=TRUE,1,0)</f>
        <v>0</v>
      </c>
      <c r="C201" s="353">
        <f>SUM($B$106:B201)</f>
        <v>0</v>
      </c>
      <c r="D201" s="353" t="s">
        <v>798</v>
      </c>
      <c r="E201" s="357"/>
      <c r="F201" s="359"/>
    </row>
    <row r="202" spans="2:6">
      <c r="B202" s="353">
        <f t="shared" si="29"/>
        <v>0</v>
      </c>
      <c r="C202" s="353">
        <f>SUM($B$106:B202)</f>
        <v>0</v>
      </c>
      <c r="D202" s="353" t="s">
        <v>805</v>
      </c>
      <c r="E202" s="357"/>
      <c r="F202" s="359"/>
    </row>
    <row r="203" spans="2:6">
      <c r="B203" s="353">
        <f t="shared" si="29"/>
        <v>0</v>
      </c>
      <c r="C203" s="353">
        <f>SUM($B$106:B203)</f>
        <v>0</v>
      </c>
      <c r="D203" s="353" t="s">
        <v>806</v>
      </c>
      <c r="E203" s="357"/>
      <c r="F203" s="359"/>
    </row>
    <row r="204" spans="2:6">
      <c r="B204" s="353">
        <f t="shared" si="29"/>
        <v>0</v>
      </c>
      <c r="C204" s="353">
        <f>SUM($B$106:B204)</f>
        <v>0</v>
      </c>
      <c r="D204" s="353" t="s">
        <v>799</v>
      </c>
      <c r="E204" s="357"/>
      <c r="F204" s="359"/>
    </row>
    <row r="205" spans="2:6">
      <c r="B205" s="353">
        <f>IF(B204=1,1,0)</f>
        <v>0</v>
      </c>
      <c r="C205" s="353">
        <f>SUM($B$106:B205)</f>
        <v>0</v>
      </c>
      <c r="D205" s="353"/>
      <c r="E205" s="357"/>
      <c r="F205" s="359"/>
    </row>
    <row r="206" spans="2:6">
      <c r="B206" s="353">
        <f>IF($D$37=TRUE,1,0)</f>
        <v>0</v>
      </c>
      <c r="C206" s="353">
        <f>SUM($B$106:B206)</f>
        <v>0</v>
      </c>
      <c r="D206" s="358" t="s">
        <v>549</v>
      </c>
      <c r="E206" s="357"/>
      <c r="F206" s="359"/>
    </row>
    <row r="207" spans="2:6">
      <c r="B207" s="353">
        <f t="shared" ref="B207:B209" si="30">IF($D$37=TRUE,1,0)</f>
        <v>0</v>
      </c>
      <c r="C207" s="353">
        <f>SUM($B$106:B207)</f>
        <v>0</v>
      </c>
      <c r="D207" s="353" t="s">
        <v>547</v>
      </c>
      <c r="E207" s="357"/>
      <c r="F207" s="359">
        <f ca="1">TODAY()+30</f>
        <v>45073</v>
      </c>
    </row>
    <row r="208" spans="2:6">
      <c r="B208" s="353">
        <f t="shared" si="30"/>
        <v>0</v>
      </c>
      <c r="C208" s="353">
        <f>SUM($B$106:B208)</f>
        <v>0</v>
      </c>
      <c r="D208" s="353" t="s">
        <v>733</v>
      </c>
      <c r="E208" s="357"/>
      <c r="F208" s="359"/>
    </row>
    <row r="209" spans="2:6">
      <c r="B209" s="353">
        <f t="shared" si="30"/>
        <v>0</v>
      </c>
      <c r="C209" s="353">
        <f>SUM($B$106:B209)</f>
        <v>0</v>
      </c>
      <c r="D209" s="353" t="s">
        <v>548</v>
      </c>
      <c r="E209" s="357"/>
      <c r="F209" s="359"/>
    </row>
    <row r="210" spans="2:6">
      <c r="B210" s="353">
        <f>IF($D$37=TRUE,1,0)</f>
        <v>0</v>
      </c>
      <c r="C210" s="353">
        <f>SUM($B$106:B210)</f>
        <v>0</v>
      </c>
      <c r="D210" s="353" t="s">
        <v>550</v>
      </c>
      <c r="E210" s="357"/>
      <c r="F210" s="359">
        <f ca="1">IFERROR(IF(F207&gt;TODAY()-1,F207+365,""),"")</f>
        <v>45438</v>
      </c>
    </row>
  </sheetData>
  <dataValidations disablePrompts="1" count="1">
    <dataValidation type="list" allowBlank="1" showInputMessage="1" showErrorMessage="1" sqref="AX3:AY3" xr:uid="{4EEC5688-E007-43AE-A43B-28451F067B1A}">
      <formula1>Data_Classification</formula1>
    </dataValidation>
  </dataValidations>
  <hyperlinks>
    <hyperlink ref="Y66" r:id="rId1" xr:uid="{6F86CC32-D6CC-4B06-929C-244BAFB41771}"/>
  </hyperlinks>
  <pageMargins left="0.7" right="0.7" top="0.75" bottom="0.75" header="0.3" footer="0.3"/>
  <pageSetup paperSize="9" orientation="portrait" r:id="rId2"/>
  <ignoredErrors>
    <ignoredError sqref="BA38 BG70"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A1410-0483-49C3-B45F-358665E4932C}">
  <sheetPr codeName="Sheet6">
    <tabColor theme="8" tint="0.39997558519241921"/>
  </sheetPr>
  <dimension ref="A1:P133"/>
  <sheetViews>
    <sheetView zoomScaleNormal="100" workbookViewId="0">
      <selection activeCell="B5" sqref="B5:C5"/>
    </sheetView>
  </sheetViews>
  <sheetFormatPr defaultRowHeight="15"/>
  <cols>
    <col min="19" max="19" width="10.7109375" bestFit="1" customWidth="1"/>
  </cols>
  <sheetData>
    <row r="1" spans="1:14">
      <c r="A1" s="40"/>
      <c r="B1" s="42"/>
      <c r="C1" s="42"/>
      <c r="D1" s="42"/>
      <c r="E1" s="42"/>
      <c r="F1" s="42"/>
      <c r="G1" s="42"/>
      <c r="H1" s="42"/>
      <c r="I1" s="42"/>
      <c r="J1" s="42"/>
      <c r="K1" s="42"/>
      <c r="L1" s="42"/>
      <c r="M1" s="42"/>
      <c r="N1" s="43"/>
    </row>
    <row r="2" spans="1:14">
      <c r="A2" s="44"/>
      <c r="B2" s="45"/>
      <c r="C2" s="45"/>
      <c r="D2" s="45"/>
      <c r="E2" s="45"/>
      <c r="F2" s="45"/>
      <c r="G2" s="45"/>
      <c r="H2" s="45"/>
      <c r="I2" s="45"/>
      <c r="J2" s="45"/>
      <c r="K2" s="45"/>
      <c r="L2" s="45"/>
      <c r="M2" s="45"/>
      <c r="N2" s="46"/>
    </row>
    <row r="3" spans="1:14">
      <c r="A3" s="44"/>
      <c r="B3" s="45"/>
      <c r="C3" s="45"/>
      <c r="D3" s="45"/>
      <c r="E3" s="45"/>
      <c r="F3" s="45"/>
      <c r="G3" s="45"/>
      <c r="H3" s="45"/>
      <c r="I3" s="45"/>
      <c r="J3" s="45"/>
      <c r="K3" s="45"/>
      <c r="L3" s="45"/>
      <c r="M3" s="45"/>
      <c r="N3" s="46"/>
    </row>
    <row r="4" spans="1:14">
      <c r="A4" s="44"/>
      <c r="B4" s="45"/>
      <c r="C4" s="45"/>
      <c r="D4" s="45"/>
      <c r="E4" s="45"/>
      <c r="F4" s="45"/>
      <c r="G4" s="45"/>
      <c r="H4" s="45"/>
      <c r="I4" s="45"/>
      <c r="J4" s="45"/>
      <c r="K4" s="45"/>
      <c r="L4" s="45"/>
      <c r="M4" s="45"/>
      <c r="N4" s="46"/>
    </row>
    <row r="5" spans="1:14" ht="21">
      <c r="A5" s="189" t="s">
        <v>5</v>
      </c>
      <c r="B5" s="365" t="s">
        <v>0</v>
      </c>
      <c r="C5" s="365"/>
      <c r="D5" s="45"/>
      <c r="E5" s="45"/>
      <c r="F5" s="45"/>
      <c r="G5" s="45"/>
      <c r="H5" s="45"/>
      <c r="I5" s="45"/>
      <c r="J5" s="45"/>
      <c r="K5" s="45"/>
      <c r="L5" s="45"/>
      <c r="M5" s="45"/>
      <c r="N5" s="46"/>
    </row>
    <row r="6" spans="1:14" ht="15" customHeight="1">
      <c r="A6" s="44"/>
      <c r="B6" s="377" t="s">
        <v>521</v>
      </c>
      <c r="C6" s="377"/>
      <c r="D6" s="377"/>
      <c r="E6" s="377"/>
      <c r="F6" s="377"/>
      <c r="G6" s="377"/>
      <c r="H6" s="377"/>
      <c r="I6" s="377"/>
      <c r="J6" s="377"/>
      <c r="K6" s="377"/>
      <c r="L6" s="377"/>
      <c r="M6" s="377"/>
      <c r="N6" s="46"/>
    </row>
    <row r="7" spans="1:14">
      <c r="A7" s="44"/>
      <c r="B7" s="377"/>
      <c r="C7" s="377"/>
      <c r="D7" s="377"/>
      <c r="E7" s="377"/>
      <c r="F7" s="377"/>
      <c r="G7" s="377"/>
      <c r="H7" s="377"/>
      <c r="I7" s="377"/>
      <c r="J7" s="377"/>
      <c r="K7" s="377"/>
      <c r="L7" s="377"/>
      <c r="M7" s="377"/>
      <c r="N7" s="46"/>
    </row>
    <row r="8" spans="1:14">
      <c r="A8" s="44"/>
      <c r="B8" s="377"/>
      <c r="C8" s="377"/>
      <c r="D8" s="377"/>
      <c r="E8" s="377"/>
      <c r="F8" s="377"/>
      <c r="G8" s="377"/>
      <c r="H8" s="377"/>
      <c r="I8" s="377"/>
      <c r="J8" s="377"/>
      <c r="K8" s="377"/>
      <c r="L8" s="377"/>
      <c r="M8" s="377"/>
      <c r="N8" s="46"/>
    </row>
    <row r="9" spans="1:14">
      <c r="A9" s="44"/>
      <c r="B9" s="377"/>
      <c r="C9" s="377"/>
      <c r="D9" s="377"/>
      <c r="E9" s="377"/>
      <c r="F9" s="377"/>
      <c r="G9" s="377"/>
      <c r="H9" s="377"/>
      <c r="I9" s="377"/>
      <c r="J9" s="377"/>
      <c r="K9" s="377"/>
      <c r="L9" s="377"/>
      <c r="M9" s="377"/>
      <c r="N9" s="46"/>
    </row>
    <row r="10" spans="1:14">
      <c r="A10" s="44"/>
      <c r="B10" s="377"/>
      <c r="C10" s="377"/>
      <c r="D10" s="377"/>
      <c r="E10" s="377"/>
      <c r="F10" s="377"/>
      <c r="G10" s="377"/>
      <c r="H10" s="377"/>
      <c r="I10" s="377"/>
      <c r="J10" s="377"/>
      <c r="K10" s="377"/>
      <c r="L10" s="377"/>
      <c r="M10" s="377"/>
      <c r="N10" s="46"/>
    </row>
    <row r="11" spans="1:14">
      <c r="A11" s="44"/>
      <c r="B11" s="298"/>
      <c r="C11" s="298"/>
      <c r="D11" s="298"/>
      <c r="E11" s="298"/>
      <c r="F11" s="298"/>
      <c r="G11" s="298"/>
      <c r="H11" s="298"/>
      <c r="I11" s="298"/>
      <c r="J11" s="298"/>
      <c r="K11" s="298"/>
      <c r="L11" s="298"/>
      <c r="M11" s="298"/>
      <c r="N11" s="46"/>
    </row>
    <row r="12" spans="1:14" ht="19.5">
      <c r="A12" s="305" t="s">
        <v>4</v>
      </c>
      <c r="B12" s="389" t="s">
        <v>1</v>
      </c>
      <c r="C12" s="389"/>
      <c r="D12" s="299"/>
      <c r="E12" s="299"/>
      <c r="F12" s="299"/>
      <c r="G12" s="299"/>
      <c r="H12" s="299"/>
      <c r="I12" s="299"/>
      <c r="J12" s="299"/>
      <c r="K12" s="299"/>
      <c r="L12" s="299"/>
      <c r="M12" s="299"/>
      <c r="N12" s="46"/>
    </row>
    <row r="13" spans="1:14">
      <c r="A13" s="44"/>
      <c r="B13" s="377" t="s">
        <v>728</v>
      </c>
      <c r="C13" s="377"/>
      <c r="D13" s="377"/>
      <c r="E13" s="377"/>
      <c r="F13" s="377"/>
      <c r="G13" s="377"/>
      <c r="H13" s="377"/>
      <c r="I13" s="377"/>
      <c r="J13" s="377"/>
      <c r="K13" s="377"/>
      <c r="L13" s="377"/>
      <c r="M13" s="377"/>
      <c r="N13" s="46"/>
    </row>
    <row r="14" spans="1:14">
      <c r="A14" s="44"/>
      <c r="B14" s="377"/>
      <c r="C14" s="377"/>
      <c r="D14" s="377"/>
      <c r="E14" s="377"/>
      <c r="F14" s="377"/>
      <c r="G14" s="377"/>
      <c r="H14" s="377"/>
      <c r="I14" s="377"/>
      <c r="J14" s="377"/>
      <c r="K14" s="377"/>
      <c r="L14" s="377"/>
      <c r="M14" s="377"/>
      <c r="N14" s="46"/>
    </row>
    <row r="15" spans="1:14">
      <c r="A15" s="44"/>
      <c r="B15" s="377"/>
      <c r="C15" s="377"/>
      <c r="D15" s="377"/>
      <c r="E15" s="377"/>
      <c r="F15" s="377"/>
      <c r="G15" s="377"/>
      <c r="H15" s="377"/>
      <c r="I15" s="377"/>
      <c r="J15" s="377"/>
      <c r="K15" s="377"/>
      <c r="L15" s="377"/>
      <c r="M15" s="377"/>
      <c r="N15" s="46"/>
    </row>
    <row r="16" spans="1:14" ht="15.75" thickBot="1">
      <c r="A16" s="47"/>
      <c r="B16" s="48"/>
      <c r="C16" s="48"/>
      <c r="D16" s="48"/>
      <c r="E16" s="48"/>
      <c r="F16" s="48"/>
      <c r="G16" s="48"/>
      <c r="H16" s="48"/>
      <c r="I16" s="48"/>
      <c r="J16" s="48"/>
      <c r="K16" s="48"/>
      <c r="L16" s="48"/>
      <c r="M16" s="48"/>
      <c r="N16" s="49"/>
    </row>
    <row r="17" spans="1:14">
      <c r="A17" s="19"/>
      <c r="B17" s="21"/>
      <c r="C17" s="21"/>
      <c r="D17" s="21"/>
      <c r="E17" s="21"/>
      <c r="F17" s="21"/>
      <c r="G17" s="21"/>
      <c r="H17" s="21"/>
      <c r="I17" s="21"/>
      <c r="J17" s="21"/>
      <c r="K17" s="21"/>
      <c r="L17" s="21"/>
      <c r="M17" s="21"/>
      <c r="N17" s="22"/>
    </row>
    <row r="18" spans="1:14" ht="20.25" thickBot="1">
      <c r="A18" s="267" t="s">
        <v>4</v>
      </c>
      <c r="B18" s="101" t="s">
        <v>726</v>
      </c>
      <c r="C18" s="24"/>
      <c r="D18" s="24"/>
      <c r="E18" s="24"/>
      <c r="F18" s="126" t="s">
        <v>140</v>
      </c>
      <c r="G18" s="126" t="s">
        <v>331</v>
      </c>
      <c r="H18" s="24"/>
      <c r="I18" s="24"/>
      <c r="J18" s="126" t="s">
        <v>332</v>
      </c>
      <c r="K18" s="24"/>
      <c r="L18" s="24"/>
      <c r="M18" s="126"/>
      <c r="N18" s="125" t="s">
        <v>498</v>
      </c>
    </row>
    <row r="19" spans="1:14" ht="16.5" thickBot="1">
      <c r="A19" s="23"/>
      <c r="B19" s="24"/>
      <c r="C19" s="24"/>
      <c r="D19" s="24"/>
      <c r="E19" s="80" t="s">
        <v>375</v>
      </c>
      <c r="F19" s="266"/>
      <c r="G19" s="384"/>
      <c r="H19" s="385"/>
      <c r="I19" s="24"/>
      <c r="J19" s="384"/>
      <c r="K19" s="385"/>
      <c r="L19" s="203" t="s">
        <v>5</v>
      </c>
      <c r="M19" s="24"/>
      <c r="N19" s="125" t="s">
        <v>499</v>
      </c>
    </row>
    <row r="20" spans="1:14" ht="6" customHeight="1" thickBot="1">
      <c r="A20" s="23"/>
      <c r="B20" s="24"/>
      <c r="C20" s="24"/>
      <c r="D20" s="24"/>
      <c r="E20" s="80"/>
      <c r="F20" s="24"/>
      <c r="G20" s="24"/>
      <c r="H20" s="24"/>
      <c r="I20" s="24"/>
      <c r="J20" s="24"/>
      <c r="K20" s="24"/>
      <c r="L20" s="202"/>
      <c r="M20" s="24"/>
      <c r="N20" s="125"/>
    </row>
    <row r="21" spans="1:14" ht="15.75" thickBot="1">
      <c r="A21" s="23"/>
      <c r="B21" s="24"/>
      <c r="C21" s="24"/>
      <c r="D21" s="24"/>
      <c r="E21" s="80" t="s">
        <v>376</v>
      </c>
      <c r="F21" s="24"/>
      <c r="G21" s="384"/>
      <c r="H21" s="385"/>
      <c r="I21" s="24"/>
      <c r="J21" s="384"/>
      <c r="K21" s="385"/>
      <c r="L21" s="202"/>
      <c r="M21" s="24"/>
      <c r="N21" s="125" t="s">
        <v>500</v>
      </c>
    </row>
    <row r="22" spans="1:14" ht="6" customHeight="1" thickBot="1">
      <c r="A22" s="23"/>
      <c r="B22" s="24"/>
      <c r="C22" s="24"/>
      <c r="D22" s="24"/>
      <c r="E22" s="80"/>
      <c r="F22" s="24"/>
      <c r="G22" s="24"/>
      <c r="H22" s="24"/>
      <c r="I22" s="24"/>
      <c r="J22" s="24"/>
      <c r="K22" s="24"/>
      <c r="L22" s="202"/>
      <c r="M22" s="24"/>
      <c r="N22" s="125"/>
    </row>
    <row r="23" spans="1:14" ht="16.5" thickBot="1">
      <c r="A23" s="23"/>
      <c r="B23" s="24"/>
      <c r="C23" s="24"/>
      <c r="D23" s="24"/>
      <c r="E23" s="80" t="s">
        <v>427</v>
      </c>
      <c r="F23" s="24"/>
      <c r="G23" s="384"/>
      <c r="H23" s="385"/>
      <c r="I23" s="24"/>
      <c r="J23" s="384"/>
      <c r="K23" s="385"/>
      <c r="L23" s="316" t="s">
        <v>4</v>
      </c>
      <c r="M23" s="24"/>
      <c r="N23" s="125" t="s">
        <v>501</v>
      </c>
    </row>
    <row r="24" spans="1:14" ht="6" customHeight="1" thickBot="1">
      <c r="A24" s="23"/>
      <c r="B24" s="24"/>
      <c r="C24" s="24"/>
      <c r="D24" s="24"/>
      <c r="E24" s="80"/>
      <c r="F24" s="24"/>
      <c r="G24" s="24"/>
      <c r="H24" s="24"/>
      <c r="I24" s="24"/>
      <c r="J24" s="24"/>
      <c r="K24" s="24"/>
      <c r="L24" s="202"/>
      <c r="M24" s="24"/>
      <c r="N24" s="125"/>
    </row>
    <row r="25" spans="1:14" ht="15.75" thickBot="1">
      <c r="A25" s="23"/>
      <c r="B25" s="24"/>
      <c r="C25" s="24"/>
      <c r="D25" s="24"/>
      <c r="E25" s="80" t="s">
        <v>777</v>
      </c>
      <c r="F25" s="24"/>
      <c r="G25" s="384"/>
      <c r="H25" s="385"/>
      <c r="I25" s="24"/>
      <c r="J25" s="384"/>
      <c r="K25" s="385"/>
      <c r="L25" s="202"/>
      <c r="M25" s="24"/>
      <c r="N25" s="125" t="s">
        <v>502</v>
      </c>
    </row>
    <row r="26" spans="1:14" ht="6" customHeight="1" thickBot="1">
      <c r="A26" s="23"/>
      <c r="B26" s="24"/>
      <c r="C26" s="24"/>
      <c r="D26" s="24"/>
      <c r="E26" s="80"/>
      <c r="F26" s="24"/>
      <c r="G26" s="24"/>
      <c r="H26" s="24"/>
      <c r="I26" s="24"/>
      <c r="J26" s="24"/>
      <c r="K26" s="24"/>
      <c r="L26" s="202"/>
      <c r="M26" s="24"/>
      <c r="N26" s="125"/>
    </row>
    <row r="27" spans="1:14" ht="16.5" thickBot="1">
      <c r="A27" s="23"/>
      <c r="B27" s="24"/>
      <c r="C27" s="24"/>
      <c r="D27" s="24"/>
      <c r="E27" s="80" t="s">
        <v>377</v>
      </c>
      <c r="F27" s="24"/>
      <c r="G27" s="384"/>
      <c r="H27" s="385"/>
      <c r="I27" s="24"/>
      <c r="J27" s="384"/>
      <c r="K27" s="385"/>
      <c r="L27" s="203" t="s">
        <v>5</v>
      </c>
      <c r="M27" s="24"/>
      <c r="N27" s="125" t="s">
        <v>503</v>
      </c>
    </row>
    <row r="28" spans="1:14" ht="6" customHeight="1" thickBot="1">
      <c r="A28" s="23"/>
      <c r="B28" s="24"/>
      <c r="C28" s="24"/>
      <c r="D28" s="24"/>
      <c r="E28" s="80"/>
      <c r="F28" s="24"/>
      <c r="G28" s="24"/>
      <c r="H28" s="24"/>
      <c r="I28" s="24"/>
      <c r="J28" s="24"/>
      <c r="K28" s="24"/>
      <c r="L28" s="202"/>
      <c r="M28" s="24"/>
      <c r="N28" s="125"/>
    </row>
    <row r="29" spans="1:14" ht="15.75" customHeight="1" thickBot="1">
      <c r="A29" s="23"/>
      <c r="B29" s="24"/>
      <c r="C29" s="24"/>
      <c r="D29" s="24"/>
      <c r="E29" s="80" t="s">
        <v>415</v>
      </c>
      <c r="F29" s="24"/>
      <c r="G29" s="384"/>
      <c r="H29" s="385"/>
      <c r="I29" s="24"/>
      <c r="J29" s="384"/>
      <c r="K29" s="385"/>
      <c r="L29" s="203" t="s">
        <v>5</v>
      </c>
      <c r="M29" s="24"/>
      <c r="N29" s="125" t="s">
        <v>504</v>
      </c>
    </row>
    <row r="30" spans="1:14" ht="6" customHeight="1" thickBot="1">
      <c r="A30" s="23"/>
      <c r="B30" s="24"/>
      <c r="C30" s="24"/>
      <c r="D30" s="24"/>
      <c r="E30" s="80"/>
      <c r="F30" s="24"/>
      <c r="G30" s="24"/>
      <c r="H30" s="24"/>
      <c r="I30" s="24"/>
      <c r="J30" s="24"/>
      <c r="K30" s="24"/>
      <c r="L30" s="202"/>
      <c r="M30" s="24"/>
      <c r="N30" s="125"/>
    </row>
    <row r="31" spans="1:14" ht="16.5" thickBot="1">
      <c r="A31" s="23"/>
      <c r="B31" s="24"/>
      <c r="C31" s="24"/>
      <c r="D31" s="24"/>
      <c r="E31" s="80" t="s">
        <v>378</v>
      </c>
      <c r="F31" s="24"/>
      <c r="G31" s="384"/>
      <c r="H31" s="385"/>
      <c r="I31" s="24"/>
      <c r="J31" s="384"/>
      <c r="K31" s="385"/>
      <c r="L31" s="203" t="s">
        <v>5</v>
      </c>
      <c r="M31" s="24"/>
      <c r="N31" s="125" t="s">
        <v>505</v>
      </c>
    </row>
    <row r="32" spans="1:14" ht="6" customHeight="1" thickBot="1">
      <c r="A32" s="23"/>
      <c r="B32" s="24"/>
      <c r="C32" s="24"/>
      <c r="D32" s="24"/>
      <c r="E32" s="80"/>
      <c r="F32" s="24"/>
      <c r="G32" s="24"/>
      <c r="H32" s="24"/>
      <c r="I32" s="24"/>
      <c r="J32" s="24"/>
      <c r="K32" s="24"/>
      <c r="L32" s="202"/>
      <c r="M32" s="24"/>
      <c r="N32" s="125"/>
    </row>
    <row r="33" spans="1:16" ht="15.75" thickBot="1">
      <c r="A33" s="23"/>
      <c r="B33" s="24"/>
      <c r="C33" s="24"/>
      <c r="D33" s="24"/>
      <c r="E33" s="80" t="s">
        <v>450</v>
      </c>
      <c r="F33" s="211"/>
      <c r="G33" s="384"/>
      <c r="H33" s="385"/>
      <c r="I33" s="201"/>
      <c r="J33" s="384"/>
      <c r="K33" s="385"/>
      <c r="L33" s="24"/>
      <c r="M33" s="24"/>
      <c r="N33" s="125" t="s">
        <v>792</v>
      </c>
    </row>
    <row r="34" spans="1:16" ht="6" customHeight="1">
      <c r="A34" s="23"/>
      <c r="B34" s="24"/>
      <c r="C34" s="24"/>
      <c r="D34" s="24"/>
      <c r="E34" s="80"/>
      <c r="F34" s="24"/>
      <c r="G34" s="24"/>
      <c r="H34" s="24"/>
      <c r="I34" s="195"/>
      <c r="J34" s="195"/>
      <c r="K34" s="24"/>
      <c r="L34" s="195"/>
      <c r="M34" s="195"/>
      <c r="N34" s="84"/>
    </row>
    <row r="35" spans="1:16" hidden="1">
      <c r="A35" s="23"/>
      <c r="B35" s="196"/>
      <c r="C35" s="196"/>
      <c r="D35" s="196"/>
      <c r="E35" s="197" t="s">
        <v>428</v>
      </c>
      <c r="F35" s="196"/>
      <c r="G35" s="200"/>
      <c r="H35" s="196"/>
      <c r="I35" s="196"/>
      <c r="J35" s="196"/>
      <c r="K35" s="196"/>
      <c r="L35" s="196"/>
      <c r="M35" s="196"/>
      <c r="N35" s="25"/>
    </row>
    <row r="36" spans="1:16" hidden="1">
      <c r="A36" s="23"/>
      <c r="B36" s="196"/>
      <c r="C36" s="196"/>
      <c r="D36" s="196"/>
      <c r="E36" s="196"/>
      <c r="F36" s="196"/>
      <c r="G36" s="196"/>
      <c r="H36" s="196"/>
      <c r="I36" s="196"/>
      <c r="J36" s="196"/>
      <c r="K36" s="196"/>
      <c r="L36" s="196"/>
      <c r="M36" s="196"/>
      <c r="N36" s="25"/>
    </row>
    <row r="37" spans="1:16" ht="15.75" thickBot="1">
      <c r="A37" s="27"/>
      <c r="B37" s="28"/>
      <c r="C37" s="28"/>
      <c r="D37" s="28"/>
      <c r="E37" s="28"/>
      <c r="F37" s="28"/>
      <c r="G37" s="28"/>
      <c r="H37" s="28"/>
      <c r="I37" s="28"/>
      <c r="J37" s="28"/>
      <c r="K37" s="28"/>
      <c r="L37" s="28"/>
      <c r="M37" s="28"/>
      <c r="N37" s="29"/>
    </row>
    <row r="38" spans="1:16" ht="20.25" thickBot="1">
      <c r="A38" s="188" t="s">
        <v>4</v>
      </c>
      <c r="B38" s="31" t="s">
        <v>727</v>
      </c>
      <c r="C38" s="32"/>
      <c r="D38" s="32"/>
      <c r="E38" s="32"/>
      <c r="F38" s="32"/>
      <c r="G38" s="193" t="s">
        <v>331</v>
      </c>
      <c r="H38" s="32"/>
      <c r="I38" s="32"/>
      <c r="J38" s="193" t="s">
        <v>332</v>
      </c>
      <c r="K38" s="32"/>
      <c r="L38" s="32"/>
      <c r="M38" s="32"/>
      <c r="N38" s="124" t="s">
        <v>498</v>
      </c>
    </row>
    <row r="39" spans="1:16" ht="15.75" thickBot="1">
      <c r="A39" s="34"/>
      <c r="B39" s="35"/>
      <c r="C39" s="35"/>
      <c r="D39" s="35"/>
      <c r="E39" s="114" t="s">
        <v>370</v>
      </c>
      <c r="F39" s="35"/>
      <c r="G39" s="384"/>
      <c r="H39" s="385"/>
      <c r="I39" s="35"/>
      <c r="J39" s="384"/>
      <c r="K39" s="385"/>
      <c r="L39" s="35"/>
      <c r="M39" s="35"/>
      <c r="N39" s="124" t="s">
        <v>646</v>
      </c>
    </row>
    <row r="40" spans="1:16" ht="6" customHeight="1" thickBot="1">
      <c r="A40" s="34"/>
      <c r="B40" s="35"/>
      <c r="C40" s="35"/>
      <c r="D40" s="35"/>
      <c r="E40" s="35"/>
      <c r="F40" s="35"/>
      <c r="G40" s="35"/>
      <c r="H40" s="35"/>
      <c r="I40" s="35"/>
      <c r="J40" s="35"/>
      <c r="K40" s="35"/>
      <c r="L40" s="35"/>
      <c r="M40" s="35"/>
      <c r="N40" s="124"/>
    </row>
    <row r="41" spans="1:16" ht="15.75" thickBot="1">
      <c r="A41" s="34"/>
      <c r="B41" s="35"/>
      <c r="C41" s="35"/>
      <c r="D41" s="35"/>
      <c r="E41" s="114" t="s">
        <v>372</v>
      </c>
      <c r="F41" s="35"/>
      <c r="G41" s="384"/>
      <c r="H41" s="385"/>
      <c r="I41" s="35"/>
      <c r="J41" s="384"/>
      <c r="K41" s="385"/>
      <c r="L41" s="35"/>
      <c r="M41" s="35"/>
      <c r="N41" s="124" t="s">
        <v>647</v>
      </c>
      <c r="P41" s="222"/>
    </row>
    <row r="42" spans="1:16" ht="6" customHeight="1" thickBot="1">
      <c r="A42" s="34"/>
      <c r="B42" s="35"/>
      <c r="C42" s="35"/>
      <c r="D42" s="35"/>
      <c r="E42" s="114"/>
      <c r="F42" s="35"/>
      <c r="G42" s="35"/>
      <c r="H42" s="35"/>
      <c r="I42" s="35"/>
      <c r="J42" s="35"/>
      <c r="K42" s="35"/>
      <c r="L42" s="35"/>
      <c r="M42" s="35"/>
      <c r="N42" s="36"/>
    </row>
    <row r="43" spans="1:16" ht="15.75" thickBot="1">
      <c r="A43" s="34"/>
      <c r="B43" s="35"/>
      <c r="C43" s="35"/>
      <c r="D43" s="35"/>
      <c r="E43" s="114" t="s">
        <v>374</v>
      </c>
      <c r="F43" s="35"/>
      <c r="G43" s="384"/>
      <c r="H43" s="385"/>
      <c r="I43" s="35"/>
      <c r="J43" s="384"/>
      <c r="K43" s="385"/>
      <c r="L43" s="35"/>
      <c r="M43" s="35"/>
      <c r="N43" s="124" t="s">
        <v>648</v>
      </c>
    </row>
    <row r="44" spans="1:16" ht="6" customHeight="1" thickBot="1">
      <c r="A44" s="34"/>
      <c r="B44" s="35"/>
      <c r="C44" s="35"/>
      <c r="D44" s="35"/>
      <c r="E44" s="114"/>
      <c r="F44" s="35"/>
      <c r="G44" s="35"/>
      <c r="H44" s="35"/>
      <c r="I44" s="35"/>
      <c r="J44" s="35"/>
      <c r="K44" s="35"/>
      <c r="L44" s="35"/>
      <c r="M44" s="35"/>
      <c r="N44" s="36"/>
    </row>
    <row r="45" spans="1:16" ht="15.75" thickBot="1">
      <c r="A45" s="34"/>
      <c r="B45" s="35"/>
      <c r="C45" s="35"/>
      <c r="D45" s="35"/>
      <c r="E45" s="114" t="s">
        <v>643</v>
      </c>
      <c r="F45" s="35"/>
      <c r="G45" s="384"/>
      <c r="H45" s="385"/>
      <c r="I45" s="35"/>
      <c r="J45" s="384"/>
      <c r="K45" s="385"/>
      <c r="L45" s="35"/>
      <c r="M45" s="35"/>
      <c r="N45" s="124" t="s">
        <v>649</v>
      </c>
    </row>
    <row r="46" spans="1:16" ht="6" customHeight="1" thickBot="1">
      <c r="A46" s="34"/>
      <c r="B46" s="35"/>
      <c r="C46" s="35"/>
      <c r="D46" s="35"/>
      <c r="E46" s="114"/>
      <c r="F46" s="35"/>
      <c r="G46" s="315"/>
      <c r="H46" s="315"/>
      <c r="I46" s="35"/>
      <c r="J46" s="315"/>
      <c r="K46" s="315"/>
      <c r="L46" s="35"/>
      <c r="M46" s="35"/>
      <c r="N46" s="124"/>
    </row>
    <row r="47" spans="1:16" ht="16.5" thickBot="1">
      <c r="A47" s="34"/>
      <c r="B47" s="35"/>
      <c r="C47" s="35"/>
      <c r="D47" s="35"/>
      <c r="E47" s="114" t="s">
        <v>824</v>
      </c>
      <c r="F47" s="120" t="s">
        <v>4</v>
      </c>
      <c r="G47" s="384"/>
      <c r="H47" s="385"/>
      <c r="I47" s="35"/>
      <c r="J47" s="384"/>
      <c r="K47" s="385"/>
      <c r="L47" s="317" t="s">
        <v>5</v>
      </c>
      <c r="M47" s="35"/>
      <c r="N47" s="124" t="s">
        <v>832</v>
      </c>
    </row>
    <row r="48" spans="1:16" ht="15.75">
      <c r="A48" s="34"/>
      <c r="B48" s="35"/>
      <c r="C48" s="35"/>
      <c r="D48" s="35"/>
      <c r="E48" s="318"/>
      <c r="F48" s="35"/>
      <c r="G48" s="315"/>
      <c r="H48" s="315"/>
      <c r="I48" s="35"/>
      <c r="J48" s="315"/>
      <c r="K48" s="315"/>
      <c r="L48" s="317"/>
      <c r="M48" s="35"/>
      <c r="N48" s="36"/>
    </row>
    <row r="49" spans="1:14">
      <c r="A49" s="34"/>
      <c r="B49" s="35"/>
      <c r="C49" s="35"/>
      <c r="D49" s="35"/>
      <c r="E49" s="114"/>
      <c r="F49" s="35"/>
      <c r="G49" s="279"/>
      <c r="H49" s="279"/>
      <c r="I49" s="35"/>
      <c r="J49" s="279"/>
      <c r="K49" s="281" t="str">
        <f>IF(DAWorkings!J98=TRUE,DAWorkings!K98,"")</f>
        <v/>
      </c>
      <c r="L49" s="35"/>
      <c r="M49" s="35"/>
      <c r="N49" s="36"/>
    </row>
    <row r="50" spans="1:14" ht="15.75" thickBot="1">
      <c r="A50" s="37"/>
      <c r="B50" s="35"/>
      <c r="C50" s="194"/>
      <c r="D50" s="194"/>
      <c r="E50" s="74"/>
      <c r="F50" s="194"/>
      <c r="G50" s="38"/>
      <c r="H50" s="38"/>
      <c r="I50" s="38"/>
      <c r="J50" s="38"/>
      <c r="K50" s="280" t="str">
        <f ca="1">IF(DAWorkings!J99=TRUE,DAWorkings!K99,"")</f>
        <v/>
      </c>
      <c r="L50" s="194"/>
      <c r="M50" s="194"/>
      <c r="N50" s="39"/>
    </row>
    <row r="51" spans="1:14" ht="19.5">
      <c r="A51" s="267" t="s">
        <v>4</v>
      </c>
      <c r="B51" s="321" t="s">
        <v>810</v>
      </c>
      <c r="C51" s="21"/>
      <c r="D51" s="21"/>
      <c r="E51" s="21"/>
      <c r="F51" s="21"/>
      <c r="G51" s="322"/>
      <c r="H51" s="322"/>
      <c r="I51" s="21"/>
      <c r="J51" s="383"/>
      <c r="K51" s="383"/>
      <c r="L51" s="21"/>
      <c r="M51" s="21"/>
      <c r="N51" s="22"/>
    </row>
    <row r="52" spans="1:14" ht="15" customHeight="1">
      <c r="A52" s="23"/>
      <c r="B52" s="372" t="str">
        <f>DAWorkings!O71</f>
        <v>From the responses provided the charity has no Special Category data.
From the responses provided there does not appear to be any international transfer of personal data outside of the European Economic Area (EAA) and therefore there is no requirements to complete a Data Transfer Impact Assessment (DTIA)</v>
      </c>
      <c r="C52" s="372"/>
      <c r="D52" s="372"/>
      <c r="E52" s="372"/>
      <c r="F52" s="372"/>
      <c r="G52" s="372"/>
      <c r="H52" s="372"/>
      <c r="I52" s="372"/>
      <c r="J52" s="372"/>
      <c r="K52" s="372"/>
      <c r="L52" s="372"/>
      <c r="M52" s="372"/>
      <c r="N52" s="25"/>
    </row>
    <row r="53" spans="1:14">
      <c r="A53" s="23"/>
      <c r="B53" s="372"/>
      <c r="C53" s="372"/>
      <c r="D53" s="372"/>
      <c r="E53" s="372"/>
      <c r="F53" s="372"/>
      <c r="G53" s="372"/>
      <c r="H53" s="372"/>
      <c r="I53" s="372"/>
      <c r="J53" s="372"/>
      <c r="K53" s="372"/>
      <c r="L53" s="372"/>
      <c r="M53" s="372"/>
      <c r="N53" s="25"/>
    </row>
    <row r="54" spans="1:14">
      <c r="A54" s="23"/>
      <c r="B54" s="372"/>
      <c r="C54" s="372"/>
      <c r="D54" s="372"/>
      <c r="E54" s="372"/>
      <c r="F54" s="372"/>
      <c r="G54" s="372"/>
      <c r="H54" s="372"/>
      <c r="I54" s="372"/>
      <c r="J54" s="372"/>
      <c r="K54" s="372"/>
      <c r="L54" s="372"/>
      <c r="M54" s="372"/>
      <c r="N54" s="25"/>
    </row>
    <row r="55" spans="1:14">
      <c r="A55" s="23"/>
      <c r="B55" s="372"/>
      <c r="C55" s="372"/>
      <c r="D55" s="372"/>
      <c r="E55" s="372"/>
      <c r="F55" s="372"/>
      <c r="G55" s="372"/>
      <c r="H55" s="372"/>
      <c r="I55" s="372"/>
      <c r="J55" s="372"/>
      <c r="K55" s="372"/>
      <c r="L55" s="372"/>
      <c r="M55" s="372"/>
      <c r="N55" s="25"/>
    </row>
    <row r="56" spans="1:14" ht="15" customHeight="1">
      <c r="A56" s="23"/>
      <c r="B56" s="372"/>
      <c r="C56" s="372"/>
      <c r="D56" s="372"/>
      <c r="E56" s="372"/>
      <c r="F56" s="372"/>
      <c r="G56" s="372"/>
      <c r="H56" s="372"/>
      <c r="I56" s="372"/>
      <c r="J56" s="372"/>
      <c r="K56" s="372"/>
      <c r="L56" s="372"/>
      <c r="M56" s="372"/>
      <c r="N56" s="324"/>
    </row>
    <row r="57" spans="1:14" ht="15" customHeight="1">
      <c r="A57" s="23"/>
      <c r="B57" s="372"/>
      <c r="C57" s="372"/>
      <c r="D57" s="372"/>
      <c r="E57" s="372"/>
      <c r="F57" s="372"/>
      <c r="G57" s="372"/>
      <c r="H57" s="372"/>
      <c r="I57" s="372"/>
      <c r="J57" s="372"/>
      <c r="K57" s="372"/>
      <c r="L57" s="372"/>
      <c r="M57" s="372"/>
      <c r="N57" s="324"/>
    </row>
    <row r="58" spans="1:14">
      <c r="A58" s="23"/>
      <c r="B58" s="372"/>
      <c r="C58" s="372"/>
      <c r="D58" s="372"/>
      <c r="E58" s="372"/>
      <c r="F58" s="372"/>
      <c r="G58" s="372"/>
      <c r="H58" s="372"/>
      <c r="I58" s="372"/>
      <c r="J58" s="372"/>
      <c r="K58" s="372"/>
      <c r="L58" s="372"/>
      <c r="M58" s="372"/>
      <c r="N58" s="324"/>
    </row>
    <row r="59" spans="1:14">
      <c r="A59" s="23"/>
      <c r="B59" s="323"/>
      <c r="C59" s="323"/>
      <c r="D59" s="323"/>
      <c r="E59" s="323"/>
      <c r="F59" s="323"/>
      <c r="G59" s="323"/>
      <c r="H59" s="323"/>
      <c r="I59" s="323"/>
      <c r="J59" s="323"/>
      <c r="K59" s="323"/>
      <c r="L59" s="323"/>
      <c r="M59" s="323"/>
      <c r="N59" s="324"/>
    </row>
    <row r="60" spans="1:14">
      <c r="A60" s="23"/>
      <c r="B60" s="323"/>
      <c r="C60" s="323"/>
      <c r="D60" s="323"/>
      <c r="E60" s="323"/>
      <c r="F60" s="323"/>
      <c r="G60" s="323"/>
      <c r="H60" s="323"/>
      <c r="I60" s="323"/>
      <c r="J60" s="323"/>
      <c r="K60" s="323"/>
      <c r="L60" s="323"/>
      <c r="M60" s="323"/>
      <c r="N60" s="324"/>
    </row>
    <row r="61" spans="1:14" ht="15.75" thickBot="1">
      <c r="A61" s="27"/>
      <c r="B61" s="325"/>
      <c r="C61" s="325"/>
      <c r="D61" s="325"/>
      <c r="E61" s="325"/>
      <c r="F61" s="325"/>
      <c r="G61" s="325"/>
      <c r="H61" s="325"/>
      <c r="I61" s="325"/>
      <c r="J61" s="325"/>
      <c r="K61" s="325"/>
      <c r="L61" s="325"/>
      <c r="M61" s="325"/>
      <c r="N61" s="326"/>
    </row>
    <row r="62" spans="1:14" ht="19.5">
      <c r="A62" s="188" t="s">
        <v>4</v>
      </c>
      <c r="B62" s="31" t="s">
        <v>729</v>
      </c>
      <c r="C62" s="32"/>
      <c r="D62" s="32"/>
      <c r="E62" s="32"/>
      <c r="F62" s="32"/>
      <c r="G62" s="32"/>
      <c r="H62" s="32"/>
      <c r="I62" s="32"/>
      <c r="J62" s="32"/>
      <c r="K62" s="32"/>
      <c r="L62" s="32"/>
      <c r="M62" s="32"/>
      <c r="N62" s="33"/>
    </row>
    <row r="63" spans="1:14">
      <c r="A63" s="34"/>
      <c r="B63" s="35"/>
      <c r="C63" s="35"/>
      <c r="D63" s="35"/>
      <c r="E63" s="35"/>
      <c r="F63" s="35"/>
      <c r="G63" s="35"/>
      <c r="H63" s="35"/>
      <c r="I63" s="114" t="s">
        <v>342</v>
      </c>
      <c r="J63" s="364" t="s">
        <v>314</v>
      </c>
      <c r="K63" s="364"/>
      <c r="L63" s="364"/>
      <c r="M63" s="364"/>
      <c r="N63" s="36"/>
    </row>
    <row r="64" spans="1:14">
      <c r="A64" s="34"/>
      <c r="B64" s="35"/>
      <c r="C64" s="35"/>
      <c r="D64" s="35"/>
      <c r="E64" s="35"/>
      <c r="F64" s="35"/>
      <c r="G64" s="35"/>
      <c r="H64" s="35"/>
      <c r="I64" s="35"/>
      <c r="J64" s="35"/>
      <c r="K64" s="35"/>
      <c r="L64" s="35"/>
      <c r="M64" s="35"/>
      <c r="N64" s="36"/>
    </row>
    <row r="65" spans="1:14" ht="18.75">
      <c r="A65" s="34"/>
      <c r="B65" s="386" t="str">
        <f>DAWorkings!E101</f>
        <v>Privacy Policy for Enter your Charity name here</v>
      </c>
      <c r="C65" s="387"/>
      <c r="D65" s="387"/>
      <c r="E65" s="387"/>
      <c r="F65" s="387"/>
      <c r="G65" s="387"/>
      <c r="H65" s="387"/>
      <c r="I65" s="387"/>
      <c r="J65" s="387"/>
      <c r="K65" s="387"/>
      <c r="L65" s="387"/>
      <c r="M65" s="388"/>
      <c r="N65" s="36"/>
    </row>
    <row r="66" spans="1:14" ht="15" customHeight="1">
      <c r="A66" s="34"/>
      <c r="B66" s="378" t="str">
        <f>DAWorkings!E102</f>
        <v>We currently collect and process the following information:
•	Personal identifiers, contacts and characteristics (for example, name and contact details as well as any other relevant information required for the Charity to deliver its services).
Most of the personal information we process is provided to us directly by you for one of the following reasons:
•	As an employee, volunteer or practitioner for our Charity
•	As a beneficiary of the services our Charity offers
•	Or as Donor or recipient of marketing activities
We also receive personal information indirectly, from the following sources in the following scenarios:
•	From any affiliated charitable donation websites, such as Just Giving
•	Or from relevant searches we make 
We use the information that you have given us to fund and supply our services.
We may share this information with our practitioners and other outsourced suppliers (for example gift aid processing) in accordance the above.
Under the UK General Data Protection Regulation (UK GDPR), the lawful bases we rely on for processing this information are:
(a) Your consent. You can remove your consent at any time. You can do this by directly contacting us.
(b) We have a contractual obligation.
(c) We have a legal obligation.
(d) We have a legitimate interest.
Your information is securely stored and retain your records as per our Data Retention and Destruction Policy. We will then securely dispose your information once the retention period is met, or we no longer require it (whichever is shortest).
Under data protection law, you have rights including:
•	Your right of access - You have the right to ask us for copies of your personal information. 
•	Your right to rectification - You have the right to ask us to rectify personal information you think is inaccurate. You also have the right to ask us to complete information you think is incomplete. 
•	Your right to erasure - You have the right to ask us to erase your personal information in certain circumstances. 
•	Your right to restriction of processing - You have the right to ask us to restrict the processing of your personal information in certain circumstances. 
•	Your right to object to processing - You have the  right to object to the processing of your personal information in certain circumstances.
•	Your right to data portability - You have the right to ask that we transfer the personal information you gave us to another organisation, or to you, in certain circumstances.
You are not required to pay any charge for exercising your rights. If you make a request, we have one month to respond to you.
Please contact us if you wish to make a request.
How to complain
If you have any concerns about our use of your personal information, you can make a complaint to us at [Insert your organisation’s contact details for data protection queries].
You can also complain to the ICO if you are unhappy with how we have used your data.
The ICO’s address:            
Information Commissioner’s Office
Wycliffe House
Water Lane
Wilmslow
Cheshire
SK9 5AF
Helpline number: 0303 123 1113
ICO website: https://www.ico.org.uk</v>
      </c>
      <c r="C66" s="377"/>
      <c r="D66" s="377"/>
      <c r="E66" s="377"/>
      <c r="F66" s="377"/>
      <c r="G66" s="377"/>
      <c r="H66" s="377"/>
      <c r="I66" s="377"/>
      <c r="J66" s="377"/>
      <c r="K66" s="377"/>
      <c r="L66" s="377"/>
      <c r="M66" s="379"/>
      <c r="N66" s="36"/>
    </row>
    <row r="67" spans="1:14">
      <c r="A67" s="34"/>
      <c r="B67" s="378"/>
      <c r="C67" s="377"/>
      <c r="D67" s="377"/>
      <c r="E67" s="377"/>
      <c r="F67" s="377"/>
      <c r="G67" s="377"/>
      <c r="H67" s="377"/>
      <c r="I67" s="377"/>
      <c r="J67" s="377"/>
      <c r="K67" s="377"/>
      <c r="L67" s="377"/>
      <c r="M67" s="379"/>
      <c r="N67" s="36"/>
    </row>
    <row r="68" spans="1:14">
      <c r="A68" s="34"/>
      <c r="B68" s="378"/>
      <c r="C68" s="377"/>
      <c r="D68" s="377"/>
      <c r="E68" s="377"/>
      <c r="F68" s="377"/>
      <c r="G68" s="377"/>
      <c r="H68" s="377"/>
      <c r="I68" s="377"/>
      <c r="J68" s="377"/>
      <c r="K68" s="377"/>
      <c r="L68" s="377"/>
      <c r="M68" s="379"/>
      <c r="N68" s="36"/>
    </row>
    <row r="69" spans="1:14">
      <c r="A69" s="34"/>
      <c r="B69" s="378"/>
      <c r="C69" s="377"/>
      <c r="D69" s="377"/>
      <c r="E69" s="377"/>
      <c r="F69" s="377"/>
      <c r="G69" s="377"/>
      <c r="H69" s="377"/>
      <c r="I69" s="377"/>
      <c r="J69" s="377"/>
      <c r="K69" s="377"/>
      <c r="L69" s="377"/>
      <c r="M69" s="379"/>
      <c r="N69" s="36"/>
    </row>
    <row r="70" spans="1:14">
      <c r="A70" s="34"/>
      <c r="B70" s="378"/>
      <c r="C70" s="377"/>
      <c r="D70" s="377"/>
      <c r="E70" s="377"/>
      <c r="F70" s="377"/>
      <c r="G70" s="377"/>
      <c r="H70" s="377"/>
      <c r="I70" s="377"/>
      <c r="J70" s="377"/>
      <c r="K70" s="377"/>
      <c r="L70" s="377"/>
      <c r="M70" s="379"/>
      <c r="N70" s="36"/>
    </row>
    <row r="71" spans="1:14">
      <c r="A71" s="34"/>
      <c r="B71" s="378"/>
      <c r="C71" s="377"/>
      <c r="D71" s="377"/>
      <c r="E71" s="377"/>
      <c r="F71" s="377"/>
      <c r="G71" s="377"/>
      <c r="H71" s="377"/>
      <c r="I71" s="377"/>
      <c r="J71" s="377"/>
      <c r="K71" s="377"/>
      <c r="L71" s="377"/>
      <c r="M71" s="379"/>
      <c r="N71" s="36"/>
    </row>
    <row r="72" spans="1:14">
      <c r="A72" s="34"/>
      <c r="B72" s="378"/>
      <c r="C72" s="377"/>
      <c r="D72" s="377"/>
      <c r="E72" s="377"/>
      <c r="F72" s="377"/>
      <c r="G72" s="377"/>
      <c r="H72" s="377"/>
      <c r="I72" s="377"/>
      <c r="J72" s="377"/>
      <c r="K72" s="377"/>
      <c r="L72" s="377"/>
      <c r="M72" s="379"/>
      <c r="N72" s="36"/>
    </row>
    <row r="73" spans="1:14">
      <c r="A73" s="34"/>
      <c r="B73" s="378"/>
      <c r="C73" s="377"/>
      <c r="D73" s="377"/>
      <c r="E73" s="377"/>
      <c r="F73" s="377"/>
      <c r="G73" s="377"/>
      <c r="H73" s="377"/>
      <c r="I73" s="377"/>
      <c r="J73" s="377"/>
      <c r="K73" s="377"/>
      <c r="L73" s="377"/>
      <c r="M73" s="379"/>
      <c r="N73" s="36"/>
    </row>
    <row r="74" spans="1:14">
      <c r="A74" s="34"/>
      <c r="B74" s="378"/>
      <c r="C74" s="377"/>
      <c r="D74" s="377"/>
      <c r="E74" s="377"/>
      <c r="F74" s="377"/>
      <c r="G74" s="377"/>
      <c r="H74" s="377"/>
      <c r="I74" s="377"/>
      <c r="J74" s="377"/>
      <c r="K74" s="377"/>
      <c r="L74" s="377"/>
      <c r="M74" s="379"/>
      <c r="N74" s="36"/>
    </row>
    <row r="75" spans="1:14">
      <c r="A75" s="34"/>
      <c r="B75" s="378"/>
      <c r="C75" s="377"/>
      <c r="D75" s="377"/>
      <c r="E75" s="377"/>
      <c r="F75" s="377"/>
      <c r="G75" s="377"/>
      <c r="H75" s="377"/>
      <c r="I75" s="377"/>
      <c r="J75" s="377"/>
      <c r="K75" s="377"/>
      <c r="L75" s="377"/>
      <c r="M75" s="379"/>
      <c r="N75" s="36"/>
    </row>
    <row r="76" spans="1:14">
      <c r="A76" s="34"/>
      <c r="B76" s="378"/>
      <c r="C76" s="377"/>
      <c r="D76" s="377"/>
      <c r="E76" s="377"/>
      <c r="F76" s="377"/>
      <c r="G76" s="377"/>
      <c r="H76" s="377"/>
      <c r="I76" s="377"/>
      <c r="J76" s="377"/>
      <c r="K76" s="377"/>
      <c r="L76" s="377"/>
      <c r="M76" s="379"/>
      <c r="N76" s="36"/>
    </row>
    <row r="77" spans="1:14">
      <c r="A77" s="34"/>
      <c r="B77" s="378"/>
      <c r="C77" s="377"/>
      <c r="D77" s="377"/>
      <c r="E77" s="377"/>
      <c r="F77" s="377"/>
      <c r="G77" s="377"/>
      <c r="H77" s="377"/>
      <c r="I77" s="377"/>
      <c r="J77" s="377"/>
      <c r="K77" s="377"/>
      <c r="L77" s="377"/>
      <c r="M77" s="379"/>
      <c r="N77" s="36"/>
    </row>
    <row r="78" spans="1:14">
      <c r="A78" s="34"/>
      <c r="B78" s="378"/>
      <c r="C78" s="377"/>
      <c r="D78" s="377"/>
      <c r="E78" s="377"/>
      <c r="F78" s="377"/>
      <c r="G78" s="377"/>
      <c r="H78" s="377"/>
      <c r="I78" s="377"/>
      <c r="J78" s="377"/>
      <c r="K78" s="377"/>
      <c r="L78" s="377"/>
      <c r="M78" s="379"/>
      <c r="N78" s="36"/>
    </row>
    <row r="79" spans="1:14">
      <c r="A79" s="34"/>
      <c r="B79" s="378"/>
      <c r="C79" s="377"/>
      <c r="D79" s="377"/>
      <c r="E79" s="377"/>
      <c r="F79" s="377"/>
      <c r="G79" s="377"/>
      <c r="H79" s="377"/>
      <c r="I79" s="377"/>
      <c r="J79" s="377"/>
      <c r="K79" s="377"/>
      <c r="L79" s="377"/>
      <c r="M79" s="379"/>
      <c r="N79" s="36"/>
    </row>
    <row r="80" spans="1:14">
      <c r="A80" s="34"/>
      <c r="B80" s="378"/>
      <c r="C80" s="377"/>
      <c r="D80" s="377"/>
      <c r="E80" s="377"/>
      <c r="F80" s="377"/>
      <c r="G80" s="377"/>
      <c r="H80" s="377"/>
      <c r="I80" s="377"/>
      <c r="J80" s="377"/>
      <c r="K80" s="377"/>
      <c r="L80" s="377"/>
      <c r="M80" s="379"/>
      <c r="N80" s="36"/>
    </row>
    <row r="81" spans="1:14">
      <c r="A81" s="34"/>
      <c r="B81" s="378"/>
      <c r="C81" s="377"/>
      <c r="D81" s="377"/>
      <c r="E81" s="377"/>
      <c r="F81" s="377"/>
      <c r="G81" s="377"/>
      <c r="H81" s="377"/>
      <c r="I81" s="377"/>
      <c r="J81" s="377"/>
      <c r="K81" s="377"/>
      <c r="L81" s="377"/>
      <c r="M81" s="379"/>
      <c r="N81" s="36"/>
    </row>
    <row r="82" spans="1:14">
      <c r="A82" s="34"/>
      <c r="B82" s="378"/>
      <c r="C82" s="377"/>
      <c r="D82" s="377"/>
      <c r="E82" s="377"/>
      <c r="F82" s="377"/>
      <c r="G82" s="377"/>
      <c r="H82" s="377"/>
      <c r="I82" s="377"/>
      <c r="J82" s="377"/>
      <c r="K82" s="377"/>
      <c r="L82" s="377"/>
      <c r="M82" s="379"/>
      <c r="N82" s="36"/>
    </row>
    <row r="83" spans="1:14">
      <c r="A83" s="34"/>
      <c r="B83" s="378"/>
      <c r="C83" s="377"/>
      <c r="D83" s="377"/>
      <c r="E83" s="377"/>
      <c r="F83" s="377"/>
      <c r="G83" s="377"/>
      <c r="H83" s="377"/>
      <c r="I83" s="377"/>
      <c r="J83" s="377"/>
      <c r="K83" s="377"/>
      <c r="L83" s="377"/>
      <c r="M83" s="379"/>
      <c r="N83" s="36"/>
    </row>
    <row r="84" spans="1:14">
      <c r="A84" s="34"/>
      <c r="B84" s="378"/>
      <c r="C84" s="377"/>
      <c r="D84" s="377"/>
      <c r="E84" s="377"/>
      <c r="F84" s="377"/>
      <c r="G84" s="377"/>
      <c r="H84" s="377"/>
      <c r="I84" s="377"/>
      <c r="J84" s="377"/>
      <c r="K84" s="377"/>
      <c r="L84" s="377"/>
      <c r="M84" s="379"/>
      <c r="N84" s="36"/>
    </row>
    <row r="85" spans="1:14">
      <c r="A85" s="34"/>
      <c r="B85" s="378"/>
      <c r="C85" s="377"/>
      <c r="D85" s="377"/>
      <c r="E85" s="377"/>
      <c r="F85" s="377"/>
      <c r="G85" s="377"/>
      <c r="H85" s="377"/>
      <c r="I85" s="377"/>
      <c r="J85" s="377"/>
      <c r="K85" s="377"/>
      <c r="L85" s="377"/>
      <c r="M85" s="379"/>
      <c r="N85" s="36"/>
    </row>
    <row r="86" spans="1:14">
      <c r="A86" s="34"/>
      <c r="B86" s="378"/>
      <c r="C86" s="377"/>
      <c r="D86" s="377"/>
      <c r="E86" s="377"/>
      <c r="F86" s="377"/>
      <c r="G86" s="377"/>
      <c r="H86" s="377"/>
      <c r="I86" s="377"/>
      <c r="J86" s="377"/>
      <c r="K86" s="377"/>
      <c r="L86" s="377"/>
      <c r="M86" s="379"/>
      <c r="N86" s="36"/>
    </row>
    <row r="87" spans="1:14">
      <c r="A87" s="34"/>
      <c r="B87" s="378"/>
      <c r="C87" s="377"/>
      <c r="D87" s="377"/>
      <c r="E87" s="377"/>
      <c r="F87" s="377"/>
      <c r="G87" s="377"/>
      <c r="H87" s="377"/>
      <c r="I87" s="377"/>
      <c r="J87" s="377"/>
      <c r="K87" s="377"/>
      <c r="L87" s="377"/>
      <c r="M87" s="379"/>
      <c r="N87" s="36"/>
    </row>
    <row r="88" spans="1:14">
      <c r="A88" s="34"/>
      <c r="B88" s="378"/>
      <c r="C88" s="377"/>
      <c r="D88" s="377"/>
      <c r="E88" s="377"/>
      <c r="F88" s="377"/>
      <c r="G88" s="377"/>
      <c r="H88" s="377"/>
      <c r="I88" s="377"/>
      <c r="J88" s="377"/>
      <c r="K88" s="377"/>
      <c r="L88" s="377"/>
      <c r="M88" s="379"/>
      <c r="N88" s="36"/>
    </row>
    <row r="89" spans="1:14">
      <c r="A89" s="34"/>
      <c r="B89" s="378"/>
      <c r="C89" s="377"/>
      <c r="D89" s="377"/>
      <c r="E89" s="377"/>
      <c r="F89" s="377"/>
      <c r="G89" s="377"/>
      <c r="H89" s="377"/>
      <c r="I89" s="377"/>
      <c r="J89" s="377"/>
      <c r="K89" s="377"/>
      <c r="L89" s="377"/>
      <c r="M89" s="379"/>
      <c r="N89" s="36"/>
    </row>
    <row r="90" spans="1:14">
      <c r="A90" s="34"/>
      <c r="B90" s="378"/>
      <c r="C90" s="377"/>
      <c r="D90" s="377"/>
      <c r="E90" s="377"/>
      <c r="F90" s="377"/>
      <c r="G90" s="377"/>
      <c r="H90" s="377"/>
      <c r="I90" s="377"/>
      <c r="J90" s="377"/>
      <c r="K90" s="377"/>
      <c r="L90" s="377"/>
      <c r="M90" s="379"/>
      <c r="N90" s="36"/>
    </row>
    <row r="91" spans="1:14">
      <c r="A91" s="34"/>
      <c r="B91" s="378"/>
      <c r="C91" s="377"/>
      <c r="D91" s="377"/>
      <c r="E91" s="377"/>
      <c r="F91" s="377"/>
      <c r="G91" s="377"/>
      <c r="H91" s="377"/>
      <c r="I91" s="377"/>
      <c r="J91" s="377"/>
      <c r="K91" s="377"/>
      <c r="L91" s="377"/>
      <c r="M91" s="379"/>
      <c r="N91" s="36"/>
    </row>
    <row r="92" spans="1:14">
      <c r="A92" s="34"/>
      <c r="B92" s="378"/>
      <c r="C92" s="377"/>
      <c r="D92" s="377"/>
      <c r="E92" s="377"/>
      <c r="F92" s="377"/>
      <c r="G92" s="377"/>
      <c r="H92" s="377"/>
      <c r="I92" s="377"/>
      <c r="J92" s="377"/>
      <c r="K92" s="377"/>
      <c r="L92" s="377"/>
      <c r="M92" s="379"/>
      <c r="N92" s="36"/>
    </row>
    <row r="93" spans="1:14">
      <c r="A93" s="34"/>
      <c r="B93" s="378"/>
      <c r="C93" s="377"/>
      <c r="D93" s="377"/>
      <c r="E93" s="377"/>
      <c r="F93" s="377"/>
      <c r="G93" s="377"/>
      <c r="H93" s="377"/>
      <c r="I93" s="377"/>
      <c r="J93" s="377"/>
      <c r="K93" s="377"/>
      <c r="L93" s="377"/>
      <c r="M93" s="379"/>
      <c r="N93" s="36"/>
    </row>
    <row r="94" spans="1:14">
      <c r="A94" s="34"/>
      <c r="B94" s="378"/>
      <c r="C94" s="377"/>
      <c r="D94" s="377"/>
      <c r="E94" s="377"/>
      <c r="F94" s="377"/>
      <c r="G94" s="377"/>
      <c r="H94" s="377"/>
      <c r="I94" s="377"/>
      <c r="J94" s="377"/>
      <c r="K94" s="377"/>
      <c r="L94" s="377"/>
      <c r="M94" s="379"/>
      <c r="N94" s="36"/>
    </row>
    <row r="95" spans="1:14">
      <c r="A95" s="34"/>
      <c r="B95" s="378"/>
      <c r="C95" s="377"/>
      <c r="D95" s="377"/>
      <c r="E95" s="377"/>
      <c r="F95" s="377"/>
      <c r="G95" s="377"/>
      <c r="H95" s="377"/>
      <c r="I95" s="377"/>
      <c r="J95" s="377"/>
      <c r="K95" s="377"/>
      <c r="L95" s="377"/>
      <c r="M95" s="379"/>
      <c r="N95" s="36"/>
    </row>
    <row r="96" spans="1:14">
      <c r="A96" s="34"/>
      <c r="B96" s="378"/>
      <c r="C96" s="377"/>
      <c r="D96" s="377"/>
      <c r="E96" s="377"/>
      <c r="F96" s="377"/>
      <c r="G96" s="377"/>
      <c r="H96" s="377"/>
      <c r="I96" s="377"/>
      <c r="J96" s="377"/>
      <c r="K96" s="377"/>
      <c r="L96" s="377"/>
      <c r="M96" s="379"/>
      <c r="N96" s="36"/>
    </row>
    <row r="97" spans="1:14">
      <c r="A97" s="34"/>
      <c r="B97" s="378"/>
      <c r="C97" s="377"/>
      <c r="D97" s="377"/>
      <c r="E97" s="377"/>
      <c r="F97" s="377"/>
      <c r="G97" s="377"/>
      <c r="H97" s="377"/>
      <c r="I97" s="377"/>
      <c r="J97" s="377"/>
      <c r="K97" s="377"/>
      <c r="L97" s="377"/>
      <c r="M97" s="379"/>
      <c r="N97" s="36"/>
    </row>
    <row r="98" spans="1:14">
      <c r="A98" s="34"/>
      <c r="B98" s="378"/>
      <c r="C98" s="377"/>
      <c r="D98" s="377"/>
      <c r="E98" s="377"/>
      <c r="F98" s="377"/>
      <c r="G98" s="377"/>
      <c r="H98" s="377"/>
      <c r="I98" s="377"/>
      <c r="J98" s="377"/>
      <c r="K98" s="377"/>
      <c r="L98" s="377"/>
      <c r="M98" s="379"/>
      <c r="N98" s="36"/>
    </row>
    <row r="99" spans="1:14">
      <c r="A99" s="34"/>
      <c r="B99" s="378"/>
      <c r="C99" s="377"/>
      <c r="D99" s="377"/>
      <c r="E99" s="377"/>
      <c r="F99" s="377"/>
      <c r="G99" s="377"/>
      <c r="H99" s="377"/>
      <c r="I99" s="377"/>
      <c r="J99" s="377"/>
      <c r="K99" s="377"/>
      <c r="L99" s="377"/>
      <c r="M99" s="379"/>
      <c r="N99" s="36"/>
    </row>
    <row r="100" spans="1:14">
      <c r="A100" s="34"/>
      <c r="B100" s="378"/>
      <c r="C100" s="377"/>
      <c r="D100" s="377"/>
      <c r="E100" s="377"/>
      <c r="F100" s="377"/>
      <c r="G100" s="377"/>
      <c r="H100" s="377"/>
      <c r="I100" s="377"/>
      <c r="J100" s="377"/>
      <c r="K100" s="377"/>
      <c r="L100" s="377"/>
      <c r="M100" s="379"/>
      <c r="N100" s="36"/>
    </row>
    <row r="101" spans="1:14">
      <c r="A101" s="34"/>
      <c r="B101" s="378"/>
      <c r="C101" s="377"/>
      <c r="D101" s="377"/>
      <c r="E101" s="377"/>
      <c r="F101" s="377"/>
      <c r="G101" s="377"/>
      <c r="H101" s="377"/>
      <c r="I101" s="377"/>
      <c r="J101" s="377"/>
      <c r="K101" s="377"/>
      <c r="L101" s="377"/>
      <c r="M101" s="379"/>
      <c r="N101" s="36"/>
    </row>
    <row r="102" spans="1:14">
      <c r="A102" s="34"/>
      <c r="B102" s="378"/>
      <c r="C102" s="377"/>
      <c r="D102" s="377"/>
      <c r="E102" s="377"/>
      <c r="F102" s="377"/>
      <c r="G102" s="377"/>
      <c r="H102" s="377"/>
      <c r="I102" s="377"/>
      <c r="J102" s="377"/>
      <c r="K102" s="377"/>
      <c r="L102" s="377"/>
      <c r="M102" s="379"/>
      <c r="N102" s="36"/>
    </row>
    <row r="103" spans="1:14">
      <c r="A103" s="34"/>
      <c r="B103" s="378"/>
      <c r="C103" s="377"/>
      <c r="D103" s="377"/>
      <c r="E103" s="377"/>
      <c r="F103" s="377"/>
      <c r="G103" s="377"/>
      <c r="H103" s="377"/>
      <c r="I103" s="377"/>
      <c r="J103" s="377"/>
      <c r="K103" s="377"/>
      <c r="L103" s="377"/>
      <c r="M103" s="379"/>
      <c r="N103" s="36"/>
    </row>
    <row r="104" spans="1:14">
      <c r="A104" s="34"/>
      <c r="B104" s="378"/>
      <c r="C104" s="377"/>
      <c r="D104" s="377"/>
      <c r="E104" s="377"/>
      <c r="F104" s="377"/>
      <c r="G104" s="377"/>
      <c r="H104" s="377"/>
      <c r="I104" s="377"/>
      <c r="J104" s="377"/>
      <c r="K104" s="377"/>
      <c r="L104" s="377"/>
      <c r="M104" s="379"/>
      <c r="N104" s="36"/>
    </row>
    <row r="105" spans="1:14">
      <c r="A105" s="34"/>
      <c r="B105" s="378"/>
      <c r="C105" s="377"/>
      <c r="D105" s="377"/>
      <c r="E105" s="377"/>
      <c r="F105" s="377"/>
      <c r="G105" s="377"/>
      <c r="H105" s="377"/>
      <c r="I105" s="377"/>
      <c r="J105" s="377"/>
      <c r="K105" s="377"/>
      <c r="L105" s="377"/>
      <c r="M105" s="379"/>
      <c r="N105" s="36"/>
    </row>
    <row r="106" spans="1:14">
      <c r="A106" s="34"/>
      <c r="B106" s="378"/>
      <c r="C106" s="377"/>
      <c r="D106" s="377"/>
      <c r="E106" s="377"/>
      <c r="F106" s="377"/>
      <c r="G106" s="377"/>
      <c r="H106" s="377"/>
      <c r="I106" s="377"/>
      <c r="J106" s="377"/>
      <c r="K106" s="377"/>
      <c r="L106" s="377"/>
      <c r="M106" s="379"/>
      <c r="N106" s="36"/>
    </row>
    <row r="107" spans="1:14">
      <c r="A107" s="34"/>
      <c r="B107" s="378"/>
      <c r="C107" s="377"/>
      <c r="D107" s="377"/>
      <c r="E107" s="377"/>
      <c r="F107" s="377"/>
      <c r="G107" s="377"/>
      <c r="H107" s="377"/>
      <c r="I107" s="377"/>
      <c r="J107" s="377"/>
      <c r="K107" s="377"/>
      <c r="L107" s="377"/>
      <c r="M107" s="379"/>
      <c r="N107" s="36"/>
    </row>
    <row r="108" spans="1:14">
      <c r="A108" s="34"/>
      <c r="B108" s="378"/>
      <c r="C108" s="377"/>
      <c r="D108" s="377"/>
      <c r="E108" s="377"/>
      <c r="F108" s="377"/>
      <c r="G108" s="377"/>
      <c r="H108" s="377"/>
      <c r="I108" s="377"/>
      <c r="J108" s="377"/>
      <c r="K108" s="377"/>
      <c r="L108" s="377"/>
      <c r="M108" s="379"/>
      <c r="N108" s="36"/>
    </row>
    <row r="109" spans="1:14">
      <c r="A109" s="34"/>
      <c r="B109" s="378"/>
      <c r="C109" s="377"/>
      <c r="D109" s="377"/>
      <c r="E109" s="377"/>
      <c r="F109" s="377"/>
      <c r="G109" s="377"/>
      <c r="H109" s="377"/>
      <c r="I109" s="377"/>
      <c r="J109" s="377"/>
      <c r="K109" s="377"/>
      <c r="L109" s="377"/>
      <c r="M109" s="379"/>
      <c r="N109" s="36"/>
    </row>
    <row r="110" spans="1:14">
      <c r="A110" s="34"/>
      <c r="B110" s="378"/>
      <c r="C110" s="377"/>
      <c r="D110" s="377"/>
      <c r="E110" s="377"/>
      <c r="F110" s="377"/>
      <c r="G110" s="377"/>
      <c r="H110" s="377"/>
      <c r="I110" s="377"/>
      <c r="J110" s="377"/>
      <c r="K110" s="377"/>
      <c r="L110" s="377"/>
      <c r="M110" s="379"/>
      <c r="N110" s="36"/>
    </row>
    <row r="111" spans="1:14">
      <c r="A111" s="34"/>
      <c r="B111" s="378"/>
      <c r="C111" s="377"/>
      <c r="D111" s="377"/>
      <c r="E111" s="377"/>
      <c r="F111" s="377"/>
      <c r="G111" s="377"/>
      <c r="H111" s="377"/>
      <c r="I111" s="377"/>
      <c r="J111" s="377"/>
      <c r="K111" s="377"/>
      <c r="L111" s="377"/>
      <c r="M111" s="379"/>
      <c r="N111" s="36"/>
    </row>
    <row r="112" spans="1:14">
      <c r="A112" s="34"/>
      <c r="B112" s="378"/>
      <c r="C112" s="377"/>
      <c r="D112" s="377"/>
      <c r="E112" s="377"/>
      <c r="F112" s="377"/>
      <c r="G112" s="377"/>
      <c r="H112" s="377"/>
      <c r="I112" s="377"/>
      <c r="J112" s="377"/>
      <c r="K112" s="377"/>
      <c r="L112" s="377"/>
      <c r="M112" s="379"/>
      <c r="N112" s="36"/>
    </row>
    <row r="113" spans="1:14">
      <c r="A113" s="34"/>
      <c r="B113" s="378"/>
      <c r="C113" s="377"/>
      <c r="D113" s="377"/>
      <c r="E113" s="377"/>
      <c r="F113" s="377"/>
      <c r="G113" s="377"/>
      <c r="H113" s="377"/>
      <c r="I113" s="377"/>
      <c r="J113" s="377"/>
      <c r="K113" s="377"/>
      <c r="L113" s="377"/>
      <c r="M113" s="379"/>
      <c r="N113" s="36"/>
    </row>
    <row r="114" spans="1:14">
      <c r="A114" s="34"/>
      <c r="B114" s="378"/>
      <c r="C114" s="377"/>
      <c r="D114" s="377"/>
      <c r="E114" s="377"/>
      <c r="F114" s="377"/>
      <c r="G114" s="377"/>
      <c r="H114" s="377"/>
      <c r="I114" s="377"/>
      <c r="J114" s="377"/>
      <c r="K114" s="377"/>
      <c r="L114" s="377"/>
      <c r="M114" s="379"/>
      <c r="N114" s="36"/>
    </row>
    <row r="115" spans="1:14">
      <c r="A115" s="34"/>
      <c r="B115" s="378"/>
      <c r="C115" s="377"/>
      <c r="D115" s="377"/>
      <c r="E115" s="377"/>
      <c r="F115" s="377"/>
      <c r="G115" s="377"/>
      <c r="H115" s="377"/>
      <c r="I115" s="377"/>
      <c r="J115" s="377"/>
      <c r="K115" s="377"/>
      <c r="L115" s="377"/>
      <c r="M115" s="379"/>
      <c r="N115" s="36"/>
    </row>
    <row r="116" spans="1:14">
      <c r="A116" s="34"/>
      <c r="B116" s="378"/>
      <c r="C116" s="377"/>
      <c r="D116" s="377"/>
      <c r="E116" s="377"/>
      <c r="F116" s="377"/>
      <c r="G116" s="377"/>
      <c r="H116" s="377"/>
      <c r="I116" s="377"/>
      <c r="J116" s="377"/>
      <c r="K116" s="377"/>
      <c r="L116" s="377"/>
      <c r="M116" s="379"/>
      <c r="N116" s="36"/>
    </row>
    <row r="117" spans="1:14">
      <c r="A117" s="34"/>
      <c r="B117" s="378"/>
      <c r="C117" s="377"/>
      <c r="D117" s="377"/>
      <c r="E117" s="377"/>
      <c r="F117" s="377"/>
      <c r="G117" s="377"/>
      <c r="H117" s="377"/>
      <c r="I117" s="377"/>
      <c r="J117" s="377"/>
      <c r="K117" s="377"/>
      <c r="L117" s="377"/>
      <c r="M117" s="379"/>
      <c r="N117" s="36"/>
    </row>
    <row r="118" spans="1:14">
      <c r="A118" s="34"/>
      <c r="B118" s="378"/>
      <c r="C118" s="377"/>
      <c r="D118" s="377"/>
      <c r="E118" s="377"/>
      <c r="F118" s="377"/>
      <c r="G118" s="377"/>
      <c r="H118" s="377"/>
      <c r="I118" s="377"/>
      <c r="J118" s="377"/>
      <c r="K118" s="377"/>
      <c r="L118" s="377"/>
      <c r="M118" s="379"/>
      <c r="N118" s="36"/>
    </row>
    <row r="119" spans="1:14">
      <c r="A119" s="34"/>
      <c r="B119" s="378"/>
      <c r="C119" s="377"/>
      <c r="D119" s="377"/>
      <c r="E119" s="377"/>
      <c r="F119" s="377"/>
      <c r="G119" s="377"/>
      <c r="H119" s="377"/>
      <c r="I119" s="377"/>
      <c r="J119" s="377"/>
      <c r="K119" s="377"/>
      <c r="L119" s="377"/>
      <c r="M119" s="379"/>
      <c r="N119" s="36"/>
    </row>
    <row r="120" spans="1:14">
      <c r="A120" s="34"/>
      <c r="B120" s="378"/>
      <c r="C120" s="377"/>
      <c r="D120" s="377"/>
      <c r="E120" s="377"/>
      <c r="F120" s="377"/>
      <c r="G120" s="377"/>
      <c r="H120" s="377"/>
      <c r="I120" s="377"/>
      <c r="J120" s="377"/>
      <c r="K120" s="377"/>
      <c r="L120" s="377"/>
      <c r="M120" s="379"/>
      <c r="N120" s="36"/>
    </row>
    <row r="121" spans="1:14">
      <c r="A121" s="34"/>
      <c r="B121" s="378"/>
      <c r="C121" s="377"/>
      <c r="D121" s="377"/>
      <c r="E121" s="377"/>
      <c r="F121" s="377"/>
      <c r="G121" s="377"/>
      <c r="H121" s="377"/>
      <c r="I121" s="377"/>
      <c r="J121" s="377"/>
      <c r="K121" s="377"/>
      <c r="L121" s="377"/>
      <c r="M121" s="379"/>
      <c r="N121" s="36"/>
    </row>
    <row r="122" spans="1:14">
      <c r="A122" s="34"/>
      <c r="B122" s="378"/>
      <c r="C122" s="377"/>
      <c r="D122" s="377"/>
      <c r="E122" s="377"/>
      <c r="F122" s="377"/>
      <c r="G122" s="377"/>
      <c r="H122" s="377"/>
      <c r="I122" s="377"/>
      <c r="J122" s="377"/>
      <c r="K122" s="377"/>
      <c r="L122" s="377"/>
      <c r="M122" s="379"/>
      <c r="N122" s="36"/>
    </row>
    <row r="123" spans="1:14">
      <c r="A123" s="34"/>
      <c r="B123" s="380"/>
      <c r="C123" s="381"/>
      <c r="D123" s="381"/>
      <c r="E123" s="381"/>
      <c r="F123" s="381"/>
      <c r="G123" s="381"/>
      <c r="H123" s="381"/>
      <c r="I123" s="381"/>
      <c r="J123" s="381"/>
      <c r="K123" s="381"/>
      <c r="L123" s="381"/>
      <c r="M123" s="382"/>
      <c r="N123" s="36"/>
    </row>
    <row r="124" spans="1:14" ht="15.75" thickBot="1">
      <c r="A124" s="37"/>
      <c r="B124" s="199"/>
      <c r="C124" s="199"/>
      <c r="D124" s="199"/>
      <c r="E124" s="199"/>
      <c r="F124" s="199"/>
      <c r="G124" s="199"/>
      <c r="H124" s="199"/>
      <c r="I124" s="199"/>
      <c r="J124" s="199"/>
      <c r="K124" s="199"/>
      <c r="L124" s="199"/>
      <c r="M124" s="199"/>
      <c r="N124" s="39"/>
    </row>
    <row r="125" spans="1:14">
      <c r="B125" s="198"/>
      <c r="C125" s="198"/>
      <c r="D125" s="198"/>
      <c r="E125" s="198"/>
      <c r="F125" s="198"/>
      <c r="G125" s="198"/>
      <c r="H125" s="198"/>
      <c r="I125" s="198"/>
      <c r="J125" s="198"/>
      <c r="K125" s="198"/>
      <c r="L125" s="198"/>
      <c r="M125" s="198"/>
    </row>
    <row r="126" spans="1:14">
      <c r="B126" s="198"/>
      <c r="C126" s="198"/>
      <c r="D126" s="198"/>
      <c r="E126" s="198"/>
      <c r="F126" s="198"/>
      <c r="G126" s="198"/>
      <c r="H126" s="198"/>
      <c r="I126" s="198"/>
      <c r="J126" s="198"/>
      <c r="K126" s="198"/>
      <c r="L126" s="198"/>
      <c r="M126" s="198"/>
    </row>
    <row r="127" spans="1:14">
      <c r="B127" s="198"/>
      <c r="C127" s="198"/>
      <c r="D127" s="198"/>
      <c r="E127" s="198"/>
      <c r="F127" s="198"/>
      <c r="G127" s="198"/>
      <c r="H127" s="198"/>
      <c r="I127" s="198"/>
      <c r="J127" s="198"/>
      <c r="K127" s="198"/>
      <c r="L127" s="198"/>
      <c r="M127" s="198"/>
    </row>
    <row r="128" spans="1:14">
      <c r="B128" s="198"/>
      <c r="C128" s="198"/>
      <c r="D128" s="198"/>
      <c r="E128" s="198"/>
      <c r="F128" s="198"/>
      <c r="G128" s="198"/>
      <c r="H128" s="198"/>
      <c r="I128" s="198"/>
      <c r="J128" s="198"/>
      <c r="K128" s="198"/>
      <c r="L128" s="198"/>
      <c r="M128" s="198"/>
    </row>
    <row r="129" spans="2:13">
      <c r="B129" s="198"/>
      <c r="C129" s="198"/>
      <c r="D129" s="198"/>
      <c r="E129" s="198"/>
      <c r="F129" s="198"/>
      <c r="G129" s="198"/>
      <c r="H129" s="198"/>
      <c r="I129" s="198"/>
      <c r="J129" s="198"/>
      <c r="K129" s="198"/>
      <c r="L129" s="198"/>
      <c r="M129" s="198"/>
    </row>
    <row r="130" spans="2:13">
      <c r="B130" s="198"/>
      <c r="C130" s="198"/>
      <c r="D130" s="198"/>
      <c r="E130" s="198"/>
      <c r="F130" s="198"/>
      <c r="G130" s="198"/>
      <c r="H130" s="198"/>
      <c r="I130" s="198"/>
      <c r="J130" s="198"/>
      <c r="K130" s="198"/>
      <c r="L130" s="198"/>
      <c r="M130" s="198"/>
    </row>
    <row r="131" spans="2:13">
      <c r="B131" s="198"/>
      <c r="C131" s="198"/>
      <c r="D131" s="198"/>
      <c r="E131" s="198"/>
      <c r="F131" s="198"/>
      <c r="G131" s="198"/>
      <c r="H131" s="198"/>
      <c r="I131" s="198"/>
      <c r="J131" s="198"/>
      <c r="K131" s="198"/>
      <c r="L131" s="198"/>
      <c r="M131" s="198"/>
    </row>
    <row r="132" spans="2:13">
      <c r="B132" s="198"/>
      <c r="C132" s="198"/>
      <c r="D132" s="198"/>
      <c r="E132" s="198"/>
      <c r="F132" s="198"/>
      <c r="G132" s="198"/>
      <c r="H132" s="198"/>
      <c r="I132" s="198"/>
      <c r="J132" s="198"/>
      <c r="K132" s="198"/>
      <c r="L132" s="198"/>
      <c r="M132" s="198"/>
    </row>
    <row r="133" spans="2:13">
      <c r="B133" s="198"/>
      <c r="C133" s="198"/>
      <c r="D133" s="198"/>
      <c r="E133" s="198"/>
      <c r="F133" s="198"/>
      <c r="G133" s="198"/>
      <c r="H133" s="198"/>
      <c r="I133" s="198"/>
      <c r="J133" s="198"/>
      <c r="K133" s="198"/>
      <c r="L133" s="198"/>
      <c r="M133" s="198"/>
    </row>
  </sheetData>
  <mergeCells count="35">
    <mergeCell ref="B12:C12"/>
    <mergeCell ref="J39:K39"/>
    <mergeCell ref="G31:H31"/>
    <mergeCell ref="G47:H47"/>
    <mergeCell ref="J47:K47"/>
    <mergeCell ref="B5:C5"/>
    <mergeCell ref="G33:H33"/>
    <mergeCell ref="J23:K23"/>
    <mergeCell ref="J25:K25"/>
    <mergeCell ref="J27:K27"/>
    <mergeCell ref="J31:K31"/>
    <mergeCell ref="J33:K33"/>
    <mergeCell ref="G21:H21"/>
    <mergeCell ref="J21:K21"/>
    <mergeCell ref="G23:H23"/>
    <mergeCell ref="G25:H25"/>
    <mergeCell ref="G27:H27"/>
    <mergeCell ref="B13:M15"/>
    <mergeCell ref="B6:M10"/>
    <mergeCell ref="G19:H19"/>
    <mergeCell ref="J19:K19"/>
    <mergeCell ref="B66:M123"/>
    <mergeCell ref="J51:K51"/>
    <mergeCell ref="G29:H29"/>
    <mergeCell ref="J29:K29"/>
    <mergeCell ref="B65:M65"/>
    <mergeCell ref="G43:H43"/>
    <mergeCell ref="J43:K43"/>
    <mergeCell ref="G45:H45"/>
    <mergeCell ref="J45:K45"/>
    <mergeCell ref="G39:H39"/>
    <mergeCell ref="B52:M58"/>
    <mergeCell ref="J63:M63"/>
    <mergeCell ref="G41:H41"/>
    <mergeCell ref="J41:K41"/>
  </mergeCells>
  <conditionalFormatting sqref="A5">
    <cfRule type="expression" dxfId="20" priority="1">
      <formula>$H$39="No"</formula>
    </cfRule>
  </conditionalFormatting>
  <conditionalFormatting sqref="L19">
    <cfRule type="expression" dxfId="19" priority="5">
      <formula>$H$39="No"</formula>
    </cfRule>
  </conditionalFormatting>
  <conditionalFormatting sqref="L27">
    <cfRule type="expression" dxfId="18" priority="6">
      <formula>$H$39="No"</formula>
    </cfRule>
  </conditionalFormatting>
  <conditionalFormatting sqref="L29">
    <cfRule type="expression" dxfId="17" priority="2">
      <formula>$H$39="No"</formula>
    </cfRule>
  </conditionalFormatting>
  <conditionalFormatting sqref="L31">
    <cfRule type="expression" dxfId="16" priority="4">
      <formula>$H$39="No"</formula>
    </cfRule>
  </conditionalFormatting>
  <dataValidations count="3">
    <dataValidation type="date" allowBlank="1" showInputMessage="1" showErrorMessage="1" error="Dates for implementation, must be within 12 months of today. Please re-enter a valid date_x000a__x000a_" sqref="G25:H25 G23:H23 G27:H27 G19:H19 G31:H31 G21:H21 G33:H33 I34:J36 G39:H39 G29:H29 G45:H48 G41:H41 G51:H51 G43:H43" xr:uid="{BAF45E10-99FE-4E6A-BA82-20E86D9C7BE5}">
      <formula1>TODAY()</formula1>
      <formula2>TODAY()+365</formula2>
    </dataValidation>
    <dataValidation type="date" allowBlank="1" showInputMessage="1" showErrorMessage="1" error="Dates for Training, must be after the implementation date and within 12 months of today - please enter a valid date_x000a_" sqref="J19:K19 J31:K31 J21:K21 J23:K23 J25:K25 J29:K29 J33:K33 L34:M34 J39:K39 J45:K48 J41:K41 J27:K27 J51:K51 J43:K43" xr:uid="{E240DF46-44E7-4B66-9B34-3A677CF8C470}">
      <formula1>G19</formula1>
      <formula2>TODAY()+365</formula2>
    </dataValidation>
    <dataValidation type="list" allowBlank="1" showInputMessage="1" showErrorMessage="1" sqref="J63" xr:uid="{132ED719-C32E-44F2-AED5-E439C410F6A5}">
      <formula1>Policy</formula1>
    </dataValidation>
  </dataValidations>
  <hyperlinks>
    <hyperlink ref="L27" r:id="rId1" location="ID" xr:uid="{8AFF93D6-C491-4299-B397-DF41990FBE65}"/>
    <hyperlink ref="L19" r:id="rId2" xr:uid="{F6DAC8C2-4F72-40E1-99F7-CFE18AE0E70C}"/>
    <hyperlink ref="L31" r:id="rId3" xr:uid="{E2E5B826-D09D-435B-B560-3824DAD18981}"/>
    <hyperlink ref="L29" r:id="rId4" xr:uid="{190C411A-08AC-42E5-A92E-BD5D1BEDD11A}"/>
    <hyperlink ref="A5" r:id="rId5" xr:uid="{DA4FC04C-3444-4B3A-ACA2-9AFB0C5A80E4}"/>
    <hyperlink ref="L23" location="'Retention Schedule'!B5" display="i" xr:uid="{37969C70-70B5-491A-8BC2-822CF67D8E04}"/>
    <hyperlink ref="L47" r:id="rId6" xr:uid="{C651C485-FE74-44EC-994E-BAA4F5473A3C}"/>
  </hyperlinks>
  <pageMargins left="0.7" right="0.7" top="0.75" bottom="0.75" header="0.3" footer="0.3"/>
  <pageSetup paperSize="9" orientation="portrait" r:id="rId7"/>
  <drawing r:id="rId8"/>
  <legacyDrawing r:id="rId9"/>
  <mc:AlternateContent xmlns:mc="http://schemas.openxmlformats.org/markup-compatibility/2006">
    <mc:Choice Requires="x14">
      <controls>
        <mc:AlternateContent xmlns:mc="http://schemas.openxmlformats.org/markup-compatibility/2006">
          <mc:Choice Requires="x14">
            <control shapeId="6146" r:id="rId10" name="Check Box 2">
              <controlPr defaultSize="0" autoFill="0" autoLine="0" autoPict="0">
                <anchor moveWithCells="1">
                  <from>
                    <xdr:col>5</xdr:col>
                    <xdr:colOff>171450</xdr:colOff>
                    <xdr:row>18</xdr:row>
                    <xdr:rowOff>0</xdr:rowOff>
                  </from>
                  <to>
                    <xdr:col>5</xdr:col>
                    <xdr:colOff>381000</xdr:colOff>
                    <xdr:row>18</xdr:row>
                    <xdr:rowOff>190500</xdr:rowOff>
                  </to>
                </anchor>
              </controlPr>
            </control>
          </mc:Choice>
        </mc:AlternateContent>
        <mc:AlternateContent xmlns:mc="http://schemas.openxmlformats.org/markup-compatibility/2006">
          <mc:Choice Requires="x14">
            <control shapeId="6147" r:id="rId11" name="Check Box 3">
              <controlPr defaultSize="0" autoFill="0" autoLine="0" autoPict="0">
                <anchor moveWithCells="1">
                  <from>
                    <xdr:col>5</xdr:col>
                    <xdr:colOff>171450</xdr:colOff>
                    <xdr:row>20</xdr:row>
                    <xdr:rowOff>0</xdr:rowOff>
                  </from>
                  <to>
                    <xdr:col>5</xdr:col>
                    <xdr:colOff>381000</xdr:colOff>
                    <xdr:row>20</xdr:row>
                    <xdr:rowOff>190500</xdr:rowOff>
                  </to>
                </anchor>
              </controlPr>
            </control>
          </mc:Choice>
        </mc:AlternateContent>
        <mc:AlternateContent xmlns:mc="http://schemas.openxmlformats.org/markup-compatibility/2006">
          <mc:Choice Requires="x14">
            <control shapeId="6148" r:id="rId12" name="Check Box 4">
              <controlPr defaultSize="0" autoFill="0" autoLine="0" autoPict="0">
                <anchor moveWithCells="1">
                  <from>
                    <xdr:col>5</xdr:col>
                    <xdr:colOff>171450</xdr:colOff>
                    <xdr:row>22</xdr:row>
                    <xdr:rowOff>0</xdr:rowOff>
                  </from>
                  <to>
                    <xdr:col>5</xdr:col>
                    <xdr:colOff>381000</xdr:colOff>
                    <xdr:row>22</xdr:row>
                    <xdr:rowOff>190500</xdr:rowOff>
                  </to>
                </anchor>
              </controlPr>
            </control>
          </mc:Choice>
        </mc:AlternateContent>
        <mc:AlternateContent xmlns:mc="http://schemas.openxmlformats.org/markup-compatibility/2006">
          <mc:Choice Requires="x14">
            <control shapeId="6149" r:id="rId13" name="Check Box 5">
              <controlPr defaultSize="0" autoFill="0" autoLine="0" autoPict="0">
                <anchor moveWithCells="1">
                  <from>
                    <xdr:col>5</xdr:col>
                    <xdr:colOff>171450</xdr:colOff>
                    <xdr:row>24</xdr:row>
                    <xdr:rowOff>0</xdr:rowOff>
                  </from>
                  <to>
                    <xdr:col>5</xdr:col>
                    <xdr:colOff>381000</xdr:colOff>
                    <xdr:row>24</xdr:row>
                    <xdr:rowOff>190500</xdr:rowOff>
                  </to>
                </anchor>
              </controlPr>
            </control>
          </mc:Choice>
        </mc:AlternateContent>
        <mc:AlternateContent xmlns:mc="http://schemas.openxmlformats.org/markup-compatibility/2006">
          <mc:Choice Requires="x14">
            <control shapeId="6150" r:id="rId14" name="Check Box 6">
              <controlPr defaultSize="0" autoFill="0" autoLine="0" autoPict="0">
                <anchor moveWithCells="1">
                  <from>
                    <xdr:col>5</xdr:col>
                    <xdr:colOff>171450</xdr:colOff>
                    <xdr:row>26</xdr:row>
                    <xdr:rowOff>0</xdr:rowOff>
                  </from>
                  <to>
                    <xdr:col>5</xdr:col>
                    <xdr:colOff>381000</xdr:colOff>
                    <xdr:row>26</xdr:row>
                    <xdr:rowOff>190500</xdr:rowOff>
                  </to>
                </anchor>
              </controlPr>
            </control>
          </mc:Choice>
        </mc:AlternateContent>
        <mc:AlternateContent xmlns:mc="http://schemas.openxmlformats.org/markup-compatibility/2006">
          <mc:Choice Requires="x14">
            <control shapeId="6151" r:id="rId15" name="Check Box 7">
              <controlPr defaultSize="0" autoFill="0" autoLine="0" autoPict="0">
                <anchor moveWithCells="1">
                  <from>
                    <xdr:col>5</xdr:col>
                    <xdr:colOff>171450</xdr:colOff>
                    <xdr:row>30</xdr:row>
                    <xdr:rowOff>0</xdr:rowOff>
                  </from>
                  <to>
                    <xdr:col>5</xdr:col>
                    <xdr:colOff>381000</xdr:colOff>
                    <xdr:row>30</xdr:row>
                    <xdr:rowOff>190500</xdr:rowOff>
                  </to>
                </anchor>
              </controlPr>
            </control>
          </mc:Choice>
        </mc:AlternateContent>
        <mc:AlternateContent xmlns:mc="http://schemas.openxmlformats.org/markup-compatibility/2006">
          <mc:Choice Requires="x14">
            <control shapeId="6152" r:id="rId16" name="Check Box 8">
              <controlPr defaultSize="0" autoFill="0" autoLine="0" autoPict="0">
                <anchor moveWithCells="1">
                  <from>
                    <xdr:col>5</xdr:col>
                    <xdr:colOff>171450</xdr:colOff>
                    <xdr:row>32</xdr:row>
                    <xdr:rowOff>0</xdr:rowOff>
                  </from>
                  <to>
                    <xdr:col>5</xdr:col>
                    <xdr:colOff>381000</xdr:colOff>
                    <xdr:row>32</xdr:row>
                    <xdr:rowOff>190500</xdr:rowOff>
                  </to>
                </anchor>
              </controlPr>
            </control>
          </mc:Choice>
        </mc:AlternateContent>
        <mc:AlternateContent xmlns:mc="http://schemas.openxmlformats.org/markup-compatibility/2006">
          <mc:Choice Requires="x14">
            <control shapeId="6162" r:id="rId17" name="Check Box 18">
              <controlPr defaultSize="0" autoFill="0" autoLine="0" autoPict="0">
                <anchor moveWithCells="1">
                  <from>
                    <xdr:col>5</xdr:col>
                    <xdr:colOff>171450</xdr:colOff>
                    <xdr:row>32</xdr:row>
                    <xdr:rowOff>0</xdr:rowOff>
                  </from>
                  <to>
                    <xdr:col>5</xdr:col>
                    <xdr:colOff>381000</xdr:colOff>
                    <xdr:row>32</xdr:row>
                    <xdr:rowOff>190500</xdr:rowOff>
                  </to>
                </anchor>
              </controlPr>
            </control>
          </mc:Choice>
        </mc:AlternateContent>
        <mc:AlternateContent xmlns:mc="http://schemas.openxmlformats.org/markup-compatibility/2006">
          <mc:Choice Requires="x14">
            <control shapeId="6165" r:id="rId18" name="Check Box 21">
              <controlPr defaultSize="0" autoFill="0" autoLine="0" autoPict="0">
                <anchor moveWithCells="1">
                  <from>
                    <xdr:col>5</xdr:col>
                    <xdr:colOff>171450</xdr:colOff>
                    <xdr:row>38</xdr:row>
                    <xdr:rowOff>0</xdr:rowOff>
                  </from>
                  <to>
                    <xdr:col>5</xdr:col>
                    <xdr:colOff>381000</xdr:colOff>
                    <xdr:row>38</xdr:row>
                    <xdr:rowOff>190500</xdr:rowOff>
                  </to>
                </anchor>
              </controlPr>
            </control>
          </mc:Choice>
        </mc:AlternateContent>
        <mc:AlternateContent xmlns:mc="http://schemas.openxmlformats.org/markup-compatibility/2006">
          <mc:Choice Requires="x14">
            <control shapeId="6166" r:id="rId19" name="Check Box 22">
              <controlPr defaultSize="0" autoFill="0" autoLine="0" autoPict="0">
                <anchor moveWithCells="1">
                  <from>
                    <xdr:col>5</xdr:col>
                    <xdr:colOff>171450</xdr:colOff>
                    <xdr:row>40</xdr:row>
                    <xdr:rowOff>0</xdr:rowOff>
                  </from>
                  <to>
                    <xdr:col>5</xdr:col>
                    <xdr:colOff>381000</xdr:colOff>
                    <xdr:row>40</xdr:row>
                    <xdr:rowOff>190500</xdr:rowOff>
                  </to>
                </anchor>
              </controlPr>
            </control>
          </mc:Choice>
        </mc:AlternateContent>
        <mc:AlternateContent xmlns:mc="http://schemas.openxmlformats.org/markup-compatibility/2006">
          <mc:Choice Requires="x14">
            <control shapeId="6167" r:id="rId20" name="Check Box 23">
              <controlPr defaultSize="0" autoFill="0" autoLine="0" autoPict="0">
                <anchor moveWithCells="1">
                  <from>
                    <xdr:col>5</xdr:col>
                    <xdr:colOff>171450</xdr:colOff>
                    <xdr:row>42</xdr:row>
                    <xdr:rowOff>0</xdr:rowOff>
                  </from>
                  <to>
                    <xdr:col>5</xdr:col>
                    <xdr:colOff>381000</xdr:colOff>
                    <xdr:row>42</xdr:row>
                    <xdr:rowOff>190500</xdr:rowOff>
                  </to>
                </anchor>
              </controlPr>
            </control>
          </mc:Choice>
        </mc:AlternateContent>
        <mc:AlternateContent xmlns:mc="http://schemas.openxmlformats.org/markup-compatibility/2006">
          <mc:Choice Requires="x14">
            <control shapeId="6168" r:id="rId21" name="Check Box 24">
              <controlPr defaultSize="0" autoFill="0" autoLine="0" autoPict="0">
                <anchor moveWithCells="1">
                  <from>
                    <xdr:col>5</xdr:col>
                    <xdr:colOff>171450</xdr:colOff>
                    <xdr:row>44</xdr:row>
                    <xdr:rowOff>0</xdr:rowOff>
                  </from>
                  <to>
                    <xdr:col>5</xdr:col>
                    <xdr:colOff>381000</xdr:colOff>
                    <xdr:row>44</xdr:row>
                    <xdr:rowOff>190500</xdr:rowOff>
                  </to>
                </anchor>
              </controlPr>
            </control>
          </mc:Choice>
        </mc:AlternateContent>
        <mc:AlternateContent xmlns:mc="http://schemas.openxmlformats.org/markup-compatibility/2006">
          <mc:Choice Requires="x14">
            <control shapeId="6175" r:id="rId22" name="Check Box 31">
              <controlPr defaultSize="0" autoFill="0" autoLine="0" autoPict="0">
                <anchor moveWithCells="1">
                  <from>
                    <xdr:col>5</xdr:col>
                    <xdr:colOff>171450</xdr:colOff>
                    <xdr:row>28</xdr:row>
                    <xdr:rowOff>0</xdr:rowOff>
                  </from>
                  <to>
                    <xdr:col>5</xdr:col>
                    <xdr:colOff>381000</xdr:colOff>
                    <xdr:row>28</xdr:row>
                    <xdr:rowOff>190500</xdr:rowOff>
                  </to>
                </anchor>
              </controlPr>
            </control>
          </mc:Choice>
        </mc:AlternateContent>
        <mc:AlternateContent xmlns:mc="http://schemas.openxmlformats.org/markup-compatibility/2006">
          <mc:Choice Requires="x14">
            <control shapeId="6201" r:id="rId23" name="Check Box 57">
              <controlPr defaultSize="0" autoFill="0" autoLine="0" autoPict="0">
                <anchor moveWithCells="1">
                  <from>
                    <xdr:col>5</xdr:col>
                    <xdr:colOff>171450</xdr:colOff>
                    <xdr:row>46</xdr:row>
                    <xdr:rowOff>0</xdr:rowOff>
                  </from>
                  <to>
                    <xdr:col>5</xdr:col>
                    <xdr:colOff>381000</xdr:colOff>
                    <xdr:row>46</xdr:row>
                    <xdr:rowOff>190500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BA727-DC15-47C9-ADDE-CCD88A654D0E}">
  <sheetPr codeName="Sheet7">
    <tabColor theme="8" tint="-0.249977111117893"/>
  </sheetPr>
  <dimension ref="A1:O117"/>
  <sheetViews>
    <sheetView zoomScaleNormal="100" workbookViewId="0">
      <selection activeCell="B5" sqref="B5:C5"/>
    </sheetView>
  </sheetViews>
  <sheetFormatPr defaultRowHeight="15"/>
  <sheetData>
    <row r="1" spans="1:15">
      <c r="A1" s="40"/>
      <c r="B1" s="42"/>
      <c r="C1" s="42"/>
      <c r="D1" s="42"/>
      <c r="E1" s="42"/>
      <c r="F1" s="42"/>
      <c r="G1" s="42"/>
      <c r="H1" s="42"/>
      <c r="I1" s="42"/>
      <c r="J1" s="42"/>
      <c r="K1" s="42"/>
      <c r="L1" s="42"/>
      <c r="M1" s="42"/>
      <c r="N1" s="43"/>
    </row>
    <row r="2" spans="1:15">
      <c r="A2" s="44"/>
      <c r="B2" s="45"/>
      <c r="C2" s="45"/>
      <c r="D2" s="45"/>
      <c r="E2" s="45"/>
      <c r="F2" s="45"/>
      <c r="G2" s="45"/>
      <c r="H2" s="45"/>
      <c r="I2" s="45"/>
      <c r="J2" s="45"/>
      <c r="K2" s="45"/>
      <c r="L2" s="45"/>
      <c r="M2" s="45"/>
      <c r="N2" s="46"/>
    </row>
    <row r="3" spans="1:15">
      <c r="A3" s="44"/>
      <c r="B3" s="45"/>
      <c r="C3" s="45"/>
      <c r="D3" s="45"/>
      <c r="E3" s="45"/>
      <c r="F3" s="45"/>
      <c r="G3" s="45"/>
      <c r="H3" s="45"/>
      <c r="I3" s="45"/>
      <c r="J3" s="45"/>
      <c r="K3" s="45"/>
      <c r="L3" s="45"/>
      <c r="M3" s="45"/>
      <c r="N3" s="46"/>
    </row>
    <row r="4" spans="1:15">
      <c r="A4" s="44"/>
      <c r="B4" s="45"/>
      <c r="C4" s="45"/>
      <c r="D4" s="45"/>
      <c r="E4" s="45"/>
      <c r="F4" s="45"/>
      <c r="G4" s="45"/>
      <c r="H4" s="45"/>
      <c r="I4" s="45"/>
      <c r="J4" s="45"/>
      <c r="K4" s="45"/>
      <c r="L4" s="45"/>
      <c r="M4" s="45"/>
      <c r="N4" s="46"/>
    </row>
    <row r="5" spans="1:15" ht="21">
      <c r="A5" s="189" t="s">
        <v>5</v>
      </c>
      <c r="B5" s="365" t="s">
        <v>0</v>
      </c>
      <c r="C5" s="365"/>
      <c r="D5" s="45"/>
      <c r="E5" s="45"/>
      <c r="F5" s="45"/>
      <c r="G5" s="45"/>
      <c r="H5" s="45"/>
      <c r="I5" s="45"/>
      <c r="J5" s="45"/>
      <c r="K5" s="45"/>
      <c r="L5" s="45"/>
      <c r="M5" s="45"/>
      <c r="N5" s="46"/>
    </row>
    <row r="6" spans="1:15" ht="15" customHeight="1">
      <c r="A6" s="44"/>
      <c r="B6" s="377" t="s">
        <v>358</v>
      </c>
      <c r="C6" s="377"/>
      <c r="D6" s="377"/>
      <c r="E6" s="377"/>
      <c r="F6" s="377"/>
      <c r="G6" s="377"/>
      <c r="H6" s="377"/>
      <c r="I6" s="377"/>
      <c r="J6" s="377"/>
      <c r="K6" s="377"/>
      <c r="L6" s="377"/>
      <c r="M6" s="377"/>
      <c r="N6" s="46"/>
    </row>
    <row r="7" spans="1:15">
      <c r="A7" s="44"/>
      <c r="B7" s="377"/>
      <c r="C7" s="377"/>
      <c r="D7" s="377"/>
      <c r="E7" s="377"/>
      <c r="F7" s="377"/>
      <c r="G7" s="377"/>
      <c r="H7" s="377"/>
      <c r="I7" s="377"/>
      <c r="J7" s="377"/>
      <c r="K7" s="377"/>
      <c r="L7" s="377"/>
      <c r="M7" s="377"/>
      <c r="N7" s="46"/>
    </row>
    <row r="8" spans="1:15" ht="15" customHeight="1">
      <c r="A8" s="44"/>
      <c r="B8" s="377" t="s">
        <v>357</v>
      </c>
      <c r="C8" s="377"/>
      <c r="D8" s="377"/>
      <c r="E8" s="377"/>
      <c r="F8" s="377"/>
      <c r="G8" s="377"/>
      <c r="H8" s="377"/>
      <c r="I8" s="377"/>
      <c r="J8" s="377"/>
      <c r="K8" s="377"/>
      <c r="L8" s="377"/>
      <c r="M8" s="377"/>
      <c r="N8" s="46"/>
    </row>
    <row r="9" spans="1:15">
      <c r="A9" s="44"/>
      <c r="B9" s="377"/>
      <c r="C9" s="377"/>
      <c r="D9" s="377"/>
      <c r="E9" s="377"/>
      <c r="F9" s="377"/>
      <c r="G9" s="377"/>
      <c r="H9" s="377"/>
      <c r="I9" s="377"/>
      <c r="J9" s="377"/>
      <c r="K9" s="377"/>
      <c r="L9" s="377"/>
      <c r="M9" s="377"/>
      <c r="N9" s="46"/>
    </row>
    <row r="10" spans="1:15" ht="15" customHeight="1">
      <c r="A10" s="44"/>
      <c r="B10" s="377" t="s">
        <v>356</v>
      </c>
      <c r="C10" s="377"/>
      <c r="D10" s="377"/>
      <c r="E10" s="377"/>
      <c r="F10" s="377"/>
      <c r="G10" s="377"/>
      <c r="H10" s="377"/>
      <c r="I10" s="377"/>
      <c r="J10" s="377"/>
      <c r="K10" s="377"/>
      <c r="L10" s="377"/>
      <c r="M10" s="377"/>
      <c r="N10" s="46"/>
    </row>
    <row r="11" spans="1:15">
      <c r="A11" s="44"/>
      <c r="B11" s="377"/>
      <c r="C11" s="377"/>
      <c r="D11" s="377"/>
      <c r="E11" s="377"/>
      <c r="F11" s="377"/>
      <c r="G11" s="377"/>
      <c r="H11" s="377"/>
      <c r="I11" s="377"/>
      <c r="J11" s="377"/>
      <c r="K11" s="377"/>
      <c r="L11" s="377"/>
      <c r="M11" s="377"/>
      <c r="N11" s="46"/>
      <c r="O11" s="147"/>
    </row>
    <row r="12" spans="1:15" ht="15" customHeight="1">
      <c r="A12" s="44"/>
      <c r="B12" s="367" t="s">
        <v>355</v>
      </c>
      <c r="C12" s="367"/>
      <c r="D12" s="367"/>
      <c r="E12" s="367"/>
      <c r="F12" s="367"/>
      <c r="G12" s="367"/>
      <c r="H12" s="367"/>
      <c r="I12" s="367"/>
      <c r="J12" s="367"/>
      <c r="K12" s="367"/>
      <c r="L12" s="367"/>
      <c r="M12" s="367"/>
      <c r="N12" s="46"/>
    </row>
    <row r="13" spans="1:15">
      <c r="A13" s="44"/>
      <c r="B13" s="367"/>
      <c r="C13" s="367"/>
      <c r="D13" s="367"/>
      <c r="E13" s="367"/>
      <c r="F13" s="367"/>
      <c r="G13" s="367"/>
      <c r="H13" s="367"/>
      <c r="I13" s="367"/>
      <c r="J13" s="367"/>
      <c r="K13" s="367"/>
      <c r="L13" s="367"/>
      <c r="M13" s="367"/>
      <c r="N13" s="46"/>
    </row>
    <row r="14" spans="1:15">
      <c r="A14" s="44"/>
      <c r="B14" s="45"/>
      <c r="C14" s="45"/>
      <c r="D14" s="45"/>
      <c r="E14" s="45"/>
      <c r="F14" s="45"/>
      <c r="G14" s="45"/>
      <c r="H14" s="45"/>
      <c r="I14" s="45"/>
      <c r="J14" s="45"/>
      <c r="K14" s="45"/>
      <c r="L14" s="45"/>
      <c r="M14" s="45"/>
      <c r="N14" s="46"/>
    </row>
    <row r="15" spans="1:15" ht="15" customHeight="1">
      <c r="A15" s="44"/>
      <c r="B15" s="394" t="s">
        <v>359</v>
      </c>
      <c r="C15" s="394"/>
      <c r="D15" s="394"/>
      <c r="E15" s="394"/>
      <c r="F15" s="394"/>
      <c r="G15" s="394"/>
      <c r="H15" s="394"/>
      <c r="I15" s="394"/>
      <c r="J15" s="394"/>
      <c r="K15" s="394"/>
      <c r="L15" s="394"/>
      <c r="M15" s="394"/>
      <c r="N15" s="46"/>
    </row>
    <row r="16" spans="1:15">
      <c r="A16" s="44"/>
      <c r="B16" s="394"/>
      <c r="C16" s="394"/>
      <c r="D16" s="394"/>
      <c r="E16" s="394"/>
      <c r="F16" s="394"/>
      <c r="G16" s="394"/>
      <c r="H16" s="394"/>
      <c r="I16" s="394"/>
      <c r="J16" s="394"/>
      <c r="K16" s="394"/>
      <c r="L16" s="394"/>
      <c r="M16" s="394"/>
      <c r="N16" s="46"/>
    </row>
    <row r="17" spans="1:14" ht="15.75" thickBot="1">
      <c r="A17" s="47"/>
      <c r="B17" s="48"/>
      <c r="C17" s="300"/>
      <c r="D17" s="300"/>
      <c r="E17" s="300"/>
      <c r="F17" s="300"/>
      <c r="G17" s="300"/>
      <c r="H17" s="300"/>
      <c r="I17" s="300"/>
      <c r="J17" s="300"/>
      <c r="K17" s="300"/>
      <c r="L17" s="300"/>
      <c r="M17" s="300"/>
      <c r="N17" s="49"/>
    </row>
    <row r="18" spans="1:14" ht="21">
      <c r="A18" s="19"/>
      <c r="B18" s="150" t="s">
        <v>381</v>
      </c>
      <c r="C18" s="21"/>
      <c r="D18" s="21"/>
      <c r="E18" s="21"/>
      <c r="F18" s="21"/>
      <c r="G18" s="21"/>
      <c r="H18" s="21"/>
      <c r="I18" s="21"/>
      <c r="J18" s="21"/>
      <c r="K18" s="21"/>
      <c r="L18" s="21"/>
      <c r="M18" s="207"/>
      <c r="N18" s="22"/>
    </row>
    <row r="19" spans="1:14">
      <c r="A19" s="23"/>
      <c r="B19" s="126" t="s">
        <v>368</v>
      </c>
      <c r="C19" s="24"/>
      <c r="D19" s="24"/>
      <c r="E19" s="24"/>
      <c r="F19" s="24"/>
      <c r="G19" s="24"/>
      <c r="H19" s="24"/>
      <c r="I19" s="24"/>
      <c r="J19" s="24"/>
      <c r="K19" s="24"/>
      <c r="L19" s="24"/>
      <c r="M19" s="202"/>
      <c r="N19" s="205" t="s">
        <v>61</v>
      </c>
    </row>
    <row r="20" spans="1:14" ht="15" customHeight="1">
      <c r="A20" s="23"/>
      <c r="B20" s="24"/>
      <c r="C20" s="372" t="s">
        <v>348</v>
      </c>
      <c r="D20" s="372"/>
      <c r="E20" s="372"/>
      <c r="F20" s="372"/>
      <c r="G20" s="372"/>
      <c r="H20" s="372"/>
      <c r="I20" s="372"/>
      <c r="J20" s="372"/>
      <c r="K20" s="372"/>
      <c r="L20" s="372"/>
      <c r="M20" s="192"/>
      <c r="N20" s="205" t="s">
        <v>439</v>
      </c>
    </row>
    <row r="21" spans="1:14">
      <c r="A21" s="23"/>
      <c r="B21" s="24"/>
      <c r="C21" s="372"/>
      <c r="D21" s="372"/>
      <c r="E21" s="372"/>
      <c r="F21" s="372"/>
      <c r="G21" s="372"/>
      <c r="H21" s="372"/>
      <c r="I21" s="372"/>
      <c r="J21" s="372"/>
      <c r="K21" s="372"/>
      <c r="L21" s="372"/>
      <c r="M21" s="208"/>
      <c r="N21" s="205"/>
    </row>
    <row r="22" spans="1:14" ht="15.75">
      <c r="A22" s="23"/>
      <c r="B22" s="24"/>
      <c r="C22" s="202" t="s">
        <v>360</v>
      </c>
      <c r="D22" s="24"/>
      <c r="E22" s="24"/>
      <c r="F22" s="24"/>
      <c r="G22" s="24"/>
      <c r="H22" s="24"/>
      <c r="I22" s="24"/>
      <c r="J22" s="24"/>
      <c r="K22" s="24"/>
      <c r="L22" s="24"/>
      <c r="M22" s="206" t="s">
        <v>5</v>
      </c>
      <c r="N22" s="205" t="s">
        <v>440</v>
      </c>
    </row>
    <row r="23" spans="1:14" ht="15.75">
      <c r="A23" s="23"/>
      <c r="B23" s="24"/>
      <c r="C23" s="202" t="s">
        <v>361</v>
      </c>
      <c r="D23" s="24"/>
      <c r="E23" s="24"/>
      <c r="F23" s="24"/>
      <c r="G23" s="24"/>
      <c r="H23" s="24"/>
      <c r="I23" s="24"/>
      <c r="J23" s="24"/>
      <c r="K23" s="24"/>
      <c r="L23" s="24"/>
      <c r="M23" s="206" t="s">
        <v>5</v>
      </c>
      <c r="N23" s="205" t="s">
        <v>441</v>
      </c>
    </row>
    <row r="24" spans="1:14" ht="15.75">
      <c r="A24" s="23"/>
      <c r="B24" s="24"/>
      <c r="C24" s="202" t="s">
        <v>362</v>
      </c>
      <c r="D24" s="24"/>
      <c r="E24" s="24"/>
      <c r="F24" s="24"/>
      <c r="G24" s="24"/>
      <c r="H24" s="24"/>
      <c r="I24" s="24"/>
      <c r="J24" s="24"/>
      <c r="K24" s="24"/>
      <c r="L24" s="24"/>
      <c r="M24" s="206" t="s">
        <v>5</v>
      </c>
      <c r="N24" s="205" t="s">
        <v>442</v>
      </c>
    </row>
    <row r="25" spans="1:14" ht="15.75">
      <c r="A25" s="23"/>
      <c r="B25" s="219" t="s">
        <v>437</v>
      </c>
      <c r="C25" s="202" t="s">
        <v>363</v>
      </c>
      <c r="D25" s="24"/>
      <c r="E25" s="24"/>
      <c r="F25" s="24"/>
      <c r="G25" s="24"/>
      <c r="H25" s="24"/>
      <c r="I25" s="24"/>
      <c r="J25" s="24"/>
      <c r="K25" s="24"/>
      <c r="L25" s="24"/>
      <c r="M25" s="209" t="s">
        <v>449</v>
      </c>
      <c r="N25" s="205" t="s">
        <v>444</v>
      </c>
    </row>
    <row r="26" spans="1:14">
      <c r="A26" s="23"/>
      <c r="B26" s="24"/>
      <c r="C26" s="202" t="s">
        <v>364</v>
      </c>
      <c r="D26" s="24"/>
      <c r="E26" s="24"/>
      <c r="F26" s="24"/>
      <c r="G26" s="24"/>
      <c r="H26" s="24"/>
      <c r="I26" s="24"/>
      <c r="J26" s="24"/>
      <c r="K26" s="24"/>
      <c r="L26" s="24"/>
      <c r="M26" s="202"/>
      <c r="N26" s="205" t="s">
        <v>445</v>
      </c>
    </row>
    <row r="27" spans="1:14">
      <c r="A27" s="23"/>
      <c r="B27" s="24"/>
      <c r="C27" s="202" t="s">
        <v>365</v>
      </c>
      <c r="D27" s="24"/>
      <c r="E27" s="24"/>
      <c r="F27" s="24"/>
      <c r="G27" s="24"/>
      <c r="H27" s="24"/>
      <c r="I27" s="24"/>
      <c r="J27" s="24"/>
      <c r="K27" s="24"/>
      <c r="L27" s="24"/>
      <c r="M27" s="202"/>
      <c r="N27" s="205" t="s">
        <v>446</v>
      </c>
    </row>
    <row r="28" spans="1:14" ht="15" customHeight="1">
      <c r="A28" s="23"/>
      <c r="B28" s="204" t="s">
        <v>437</v>
      </c>
      <c r="C28" s="372" t="s">
        <v>366</v>
      </c>
      <c r="D28" s="372"/>
      <c r="E28" s="372"/>
      <c r="F28" s="372"/>
      <c r="G28" s="372"/>
      <c r="H28" s="372"/>
      <c r="I28" s="372"/>
      <c r="J28" s="372"/>
      <c r="K28" s="372"/>
      <c r="L28" s="372"/>
      <c r="M28" s="209" t="s">
        <v>449</v>
      </c>
      <c r="N28" s="205" t="s">
        <v>443</v>
      </c>
    </row>
    <row r="29" spans="1:14">
      <c r="A29" s="23"/>
      <c r="B29" s="24"/>
      <c r="C29" s="372"/>
      <c r="D29" s="372"/>
      <c r="E29" s="372"/>
      <c r="F29" s="372"/>
      <c r="G29" s="372"/>
      <c r="H29" s="372"/>
      <c r="I29" s="372"/>
      <c r="J29" s="372"/>
      <c r="K29" s="372"/>
      <c r="L29" s="372"/>
      <c r="M29" s="192"/>
      <c r="N29" s="205"/>
    </row>
    <row r="30" spans="1:14" ht="15" customHeight="1">
      <c r="A30" s="23"/>
      <c r="B30" s="24"/>
      <c r="C30" s="372" t="s">
        <v>367</v>
      </c>
      <c r="D30" s="372"/>
      <c r="E30" s="372"/>
      <c r="F30" s="372"/>
      <c r="G30" s="372"/>
      <c r="H30" s="372"/>
      <c r="I30" s="372"/>
      <c r="J30" s="372"/>
      <c r="K30" s="372"/>
      <c r="L30" s="372"/>
      <c r="M30" s="206" t="s">
        <v>5</v>
      </c>
      <c r="N30" s="205" t="s">
        <v>447</v>
      </c>
    </row>
    <row r="31" spans="1:14" ht="15.75">
      <c r="A31" s="23"/>
      <c r="B31" s="24"/>
      <c r="C31" s="372"/>
      <c r="D31" s="372"/>
      <c r="E31" s="372"/>
      <c r="F31" s="372"/>
      <c r="G31" s="372"/>
      <c r="H31" s="372"/>
      <c r="I31" s="372"/>
      <c r="J31" s="372"/>
      <c r="K31" s="372"/>
      <c r="L31" s="372"/>
      <c r="M31" s="203"/>
      <c r="N31" s="205"/>
    </row>
    <row r="32" spans="1:14" ht="15" customHeight="1">
      <c r="A32" s="23"/>
      <c r="B32" s="24"/>
      <c r="C32" s="372" t="s">
        <v>438</v>
      </c>
      <c r="D32" s="372"/>
      <c r="E32" s="372"/>
      <c r="F32" s="372"/>
      <c r="G32" s="372"/>
      <c r="H32" s="372"/>
      <c r="I32" s="372"/>
      <c r="J32" s="372"/>
      <c r="K32" s="372"/>
      <c r="L32" s="372"/>
      <c r="M32" s="209" t="s">
        <v>449</v>
      </c>
      <c r="N32" s="205" t="s">
        <v>448</v>
      </c>
    </row>
    <row r="33" spans="1:14">
      <c r="A33" s="23"/>
      <c r="B33" s="24"/>
      <c r="C33" s="372"/>
      <c r="D33" s="372"/>
      <c r="E33" s="372"/>
      <c r="F33" s="372"/>
      <c r="G33" s="372"/>
      <c r="H33" s="372"/>
      <c r="I33" s="372"/>
      <c r="J33" s="372"/>
      <c r="K33" s="372"/>
      <c r="L33" s="372"/>
      <c r="M33" s="192"/>
      <c r="N33" s="25"/>
    </row>
    <row r="34" spans="1:14" ht="15.75" thickBot="1">
      <c r="A34" s="27"/>
      <c r="B34" s="148"/>
      <c r="C34" s="148"/>
      <c r="D34" s="148"/>
      <c r="E34" s="148"/>
      <c r="F34" s="148"/>
      <c r="G34" s="148"/>
      <c r="H34" s="148"/>
      <c r="I34" s="148"/>
      <c r="J34" s="148"/>
      <c r="K34" s="148"/>
      <c r="L34" s="148"/>
      <c r="M34" s="210"/>
      <c r="N34" s="29"/>
    </row>
    <row r="35" spans="1:14" ht="21">
      <c r="A35" s="190" t="s">
        <v>5</v>
      </c>
      <c r="B35" s="187" t="s">
        <v>425</v>
      </c>
      <c r="C35" s="32"/>
      <c r="D35" s="32"/>
      <c r="E35" s="32"/>
      <c r="F35" s="32"/>
      <c r="G35" s="32"/>
      <c r="H35" s="32"/>
      <c r="I35" s="32"/>
      <c r="J35" s="32"/>
      <c r="K35" s="32"/>
      <c r="L35" s="32"/>
      <c r="M35" s="32"/>
      <c r="N35" s="33"/>
    </row>
    <row r="36" spans="1:14" ht="15" customHeight="1">
      <c r="A36" s="34"/>
      <c r="B36" s="35"/>
      <c r="C36" s="411" t="s">
        <v>436</v>
      </c>
      <c r="D36" s="411"/>
      <c r="E36" s="411"/>
      <c r="F36" s="411"/>
      <c r="G36" s="411"/>
      <c r="H36" s="411"/>
      <c r="I36" s="411"/>
      <c r="J36" s="411"/>
      <c r="K36" s="411"/>
      <c r="L36" s="411"/>
      <c r="M36" s="411"/>
      <c r="N36" s="36"/>
    </row>
    <row r="37" spans="1:14">
      <c r="A37" s="34"/>
      <c r="B37" s="35"/>
      <c r="C37" s="411"/>
      <c r="D37" s="411"/>
      <c r="E37" s="411"/>
      <c r="F37" s="411"/>
      <c r="G37" s="411"/>
      <c r="H37" s="411"/>
      <c r="I37" s="411"/>
      <c r="J37" s="411"/>
      <c r="K37" s="411"/>
      <c r="L37" s="411"/>
      <c r="M37" s="411"/>
      <c r="N37" s="36"/>
    </row>
    <row r="38" spans="1:14">
      <c r="A38" s="34"/>
      <c r="B38" s="35"/>
      <c r="C38" s="411"/>
      <c r="D38" s="411"/>
      <c r="E38" s="411"/>
      <c r="F38" s="411"/>
      <c r="G38" s="411"/>
      <c r="H38" s="411"/>
      <c r="I38" s="411"/>
      <c r="J38" s="411"/>
      <c r="K38" s="411"/>
      <c r="L38" s="411"/>
      <c r="M38" s="411"/>
      <c r="N38" s="36"/>
    </row>
    <row r="39" spans="1:14" ht="15" customHeight="1">
      <c r="A39" s="34"/>
      <c r="B39" s="35"/>
      <c r="C39" s="411"/>
      <c r="D39" s="411"/>
      <c r="E39" s="411"/>
      <c r="F39" s="411"/>
      <c r="G39" s="411"/>
      <c r="H39" s="411"/>
      <c r="I39" s="411"/>
      <c r="J39" s="411"/>
      <c r="K39" s="411"/>
      <c r="L39" s="411"/>
      <c r="M39" s="411"/>
      <c r="N39" s="36"/>
    </row>
    <row r="40" spans="1:14" ht="15.75" thickBot="1">
      <c r="A40" s="34"/>
      <c r="B40" s="35"/>
      <c r="C40" s="35"/>
      <c r="D40" s="35"/>
      <c r="E40" s="35"/>
      <c r="F40" s="35"/>
      <c r="G40" s="35"/>
      <c r="H40" s="35"/>
      <c r="I40" s="35"/>
      <c r="J40" s="35"/>
      <c r="K40" s="35"/>
      <c r="L40" s="35"/>
      <c r="M40" s="35"/>
      <c r="N40" s="36"/>
    </row>
    <row r="41" spans="1:14" ht="20.25" thickBot="1">
      <c r="A41" s="188" t="s">
        <v>4</v>
      </c>
      <c r="B41" s="168" t="s">
        <v>382</v>
      </c>
      <c r="C41" s="165"/>
      <c r="D41" s="166"/>
      <c r="E41" s="166"/>
      <c r="F41" s="166"/>
      <c r="G41" s="166"/>
      <c r="H41" s="166"/>
      <c r="I41" s="166"/>
      <c r="J41" s="166"/>
      <c r="K41" s="166"/>
      <c r="L41" s="166"/>
      <c r="M41" s="167"/>
      <c r="N41" s="36"/>
    </row>
    <row r="42" spans="1:14">
      <c r="A42" s="34"/>
      <c r="B42" s="390" t="s">
        <v>426</v>
      </c>
      <c r="C42" s="391"/>
      <c r="D42" s="391"/>
      <c r="E42" s="391"/>
      <c r="F42" s="391"/>
      <c r="G42" s="391"/>
      <c r="H42" s="391"/>
      <c r="I42" s="391"/>
      <c r="J42" s="391"/>
      <c r="K42" s="391"/>
      <c r="L42" s="391"/>
      <c r="M42" s="392"/>
      <c r="N42" s="36"/>
    </row>
    <row r="43" spans="1:14" ht="15" customHeight="1">
      <c r="A43" s="34"/>
      <c r="B43" s="393"/>
      <c r="C43" s="394"/>
      <c r="D43" s="394"/>
      <c r="E43" s="394"/>
      <c r="F43" s="394"/>
      <c r="G43" s="394"/>
      <c r="H43" s="394"/>
      <c r="I43" s="394"/>
      <c r="J43" s="394"/>
      <c r="K43" s="394"/>
      <c r="L43" s="394"/>
      <c r="M43" s="395"/>
      <c r="N43" s="36"/>
    </row>
    <row r="44" spans="1:14">
      <c r="A44" s="34"/>
      <c r="B44" s="393"/>
      <c r="C44" s="394"/>
      <c r="D44" s="394"/>
      <c r="E44" s="394"/>
      <c r="F44" s="394"/>
      <c r="G44" s="394"/>
      <c r="H44" s="394"/>
      <c r="I44" s="394"/>
      <c r="J44" s="394"/>
      <c r="K44" s="394"/>
      <c r="L44" s="394"/>
      <c r="M44" s="395"/>
      <c r="N44" s="36"/>
    </row>
    <row r="45" spans="1:14">
      <c r="A45" s="34"/>
      <c r="B45" s="393"/>
      <c r="C45" s="394"/>
      <c r="D45" s="394"/>
      <c r="E45" s="394"/>
      <c r="F45" s="394"/>
      <c r="G45" s="394"/>
      <c r="H45" s="394"/>
      <c r="I45" s="394"/>
      <c r="J45" s="394"/>
      <c r="K45" s="394"/>
      <c r="L45" s="394"/>
      <c r="M45" s="395"/>
      <c r="N45" s="36"/>
    </row>
    <row r="46" spans="1:14">
      <c r="A46" s="34"/>
      <c r="B46" s="393"/>
      <c r="C46" s="394"/>
      <c r="D46" s="394"/>
      <c r="E46" s="394"/>
      <c r="F46" s="394"/>
      <c r="G46" s="394"/>
      <c r="H46" s="394"/>
      <c r="I46" s="394"/>
      <c r="J46" s="394"/>
      <c r="K46" s="394"/>
      <c r="L46" s="394"/>
      <c r="M46" s="395"/>
      <c r="N46" s="36"/>
    </row>
    <row r="47" spans="1:14" ht="15.75" thickBot="1">
      <c r="A47" s="34"/>
      <c r="B47" s="396"/>
      <c r="C47" s="397"/>
      <c r="D47" s="397"/>
      <c r="E47" s="397"/>
      <c r="F47" s="397"/>
      <c r="G47" s="397"/>
      <c r="H47" s="397"/>
      <c r="I47" s="397"/>
      <c r="J47" s="397"/>
      <c r="K47" s="397"/>
      <c r="L47" s="397"/>
      <c r="M47" s="398"/>
      <c r="N47" s="36"/>
    </row>
    <row r="48" spans="1:14" ht="15.75" thickBot="1">
      <c r="A48" s="34"/>
      <c r="B48" s="35"/>
      <c r="C48" s="35"/>
      <c r="D48" s="35"/>
      <c r="E48" s="35"/>
      <c r="F48" s="35"/>
      <c r="G48" s="35"/>
      <c r="H48" s="35"/>
      <c r="I48" s="35"/>
      <c r="J48" s="35"/>
      <c r="K48" s="35"/>
      <c r="L48" s="35"/>
      <c r="M48" s="35"/>
      <c r="N48" s="36"/>
    </row>
    <row r="49" spans="1:14" ht="20.25" thickBot="1">
      <c r="A49" s="188" t="s">
        <v>4</v>
      </c>
      <c r="B49" s="169" t="s">
        <v>383</v>
      </c>
      <c r="C49" s="170"/>
      <c r="D49" s="170"/>
      <c r="E49" s="170"/>
      <c r="F49" s="170"/>
      <c r="G49" s="170"/>
      <c r="H49" s="170"/>
      <c r="I49" s="170"/>
      <c r="J49" s="170"/>
      <c r="K49" s="170"/>
      <c r="L49" s="170"/>
      <c r="M49" s="171"/>
      <c r="N49" s="36"/>
    </row>
    <row r="50" spans="1:14">
      <c r="A50" s="34"/>
      <c r="B50" s="390" t="s">
        <v>421</v>
      </c>
      <c r="C50" s="391"/>
      <c r="D50" s="391"/>
      <c r="E50" s="391"/>
      <c r="F50" s="391"/>
      <c r="G50" s="391"/>
      <c r="H50" s="391"/>
      <c r="I50" s="391"/>
      <c r="J50" s="391"/>
      <c r="K50" s="391"/>
      <c r="L50" s="391"/>
      <c r="M50" s="392"/>
      <c r="N50" s="36"/>
    </row>
    <row r="51" spans="1:14">
      <c r="A51" s="34"/>
      <c r="B51" s="393"/>
      <c r="C51" s="394"/>
      <c r="D51" s="394"/>
      <c r="E51" s="394"/>
      <c r="F51" s="394"/>
      <c r="G51" s="394"/>
      <c r="H51" s="394"/>
      <c r="I51" s="394"/>
      <c r="J51" s="394"/>
      <c r="K51" s="394"/>
      <c r="L51" s="394"/>
      <c r="M51" s="395"/>
      <c r="N51" s="36"/>
    </row>
    <row r="52" spans="1:14">
      <c r="A52" s="34"/>
      <c r="B52" s="393"/>
      <c r="C52" s="394"/>
      <c r="D52" s="394"/>
      <c r="E52" s="394"/>
      <c r="F52" s="394"/>
      <c r="G52" s="394"/>
      <c r="H52" s="394"/>
      <c r="I52" s="394"/>
      <c r="J52" s="394"/>
      <c r="K52" s="394"/>
      <c r="L52" s="394"/>
      <c r="M52" s="395"/>
      <c r="N52" s="36"/>
    </row>
    <row r="53" spans="1:14">
      <c r="A53" s="34"/>
      <c r="B53" s="393"/>
      <c r="C53" s="394"/>
      <c r="D53" s="394"/>
      <c r="E53" s="394"/>
      <c r="F53" s="394"/>
      <c r="G53" s="394"/>
      <c r="H53" s="394"/>
      <c r="I53" s="394"/>
      <c r="J53" s="394"/>
      <c r="K53" s="394"/>
      <c r="L53" s="394"/>
      <c r="M53" s="395"/>
      <c r="N53" s="36"/>
    </row>
    <row r="54" spans="1:14">
      <c r="A54" s="34"/>
      <c r="B54" s="393"/>
      <c r="C54" s="394"/>
      <c r="D54" s="394"/>
      <c r="E54" s="394"/>
      <c r="F54" s="394"/>
      <c r="G54" s="394"/>
      <c r="H54" s="394"/>
      <c r="I54" s="394"/>
      <c r="J54" s="394"/>
      <c r="K54" s="394"/>
      <c r="L54" s="394"/>
      <c r="M54" s="395"/>
      <c r="N54" s="36"/>
    </row>
    <row r="55" spans="1:14" ht="15.75" thickBot="1">
      <c r="A55" s="34"/>
      <c r="B55" s="396"/>
      <c r="C55" s="397"/>
      <c r="D55" s="397"/>
      <c r="E55" s="397"/>
      <c r="F55" s="397"/>
      <c r="G55" s="397"/>
      <c r="H55" s="397"/>
      <c r="I55" s="397"/>
      <c r="J55" s="397"/>
      <c r="K55" s="397"/>
      <c r="L55" s="397"/>
      <c r="M55" s="398"/>
      <c r="N55" s="36"/>
    </row>
    <row r="56" spans="1:14" ht="15.75" thickBot="1">
      <c r="A56" s="34"/>
      <c r="B56" s="35"/>
      <c r="C56" s="35"/>
      <c r="D56" s="35"/>
      <c r="E56" s="35"/>
      <c r="F56" s="35"/>
      <c r="G56" s="35"/>
      <c r="H56" s="35"/>
      <c r="I56" s="35"/>
      <c r="J56" s="35"/>
      <c r="K56" s="35"/>
      <c r="L56" s="35"/>
      <c r="M56" s="35"/>
      <c r="N56" s="36"/>
    </row>
    <row r="57" spans="1:14" ht="20.25" thickBot="1">
      <c r="A57" s="34"/>
      <c r="B57" s="154" t="s">
        <v>384</v>
      </c>
      <c r="C57" s="155"/>
      <c r="D57" s="155"/>
      <c r="E57" s="155"/>
      <c r="F57" s="155"/>
      <c r="G57" s="155"/>
      <c r="H57" s="155"/>
      <c r="I57" s="155"/>
      <c r="J57" s="155"/>
      <c r="K57" s="155"/>
      <c r="L57" s="155"/>
      <c r="M57" s="164" t="s">
        <v>5</v>
      </c>
      <c r="N57" s="36"/>
    </row>
    <row r="58" spans="1:14">
      <c r="A58" s="34"/>
      <c r="B58" s="412" t="s">
        <v>393</v>
      </c>
      <c r="C58" s="413"/>
      <c r="D58" s="413"/>
      <c r="E58" s="413"/>
      <c r="F58" s="413"/>
      <c r="G58" s="413"/>
      <c r="H58" s="413"/>
      <c r="I58" s="413"/>
      <c r="J58" s="413"/>
      <c r="K58" s="413"/>
      <c r="L58" s="413"/>
      <c r="M58" s="414"/>
      <c r="N58" s="36"/>
    </row>
    <row r="59" spans="1:14">
      <c r="A59" s="34"/>
      <c r="B59" s="415" t="s">
        <v>408</v>
      </c>
      <c r="C59" s="416"/>
      <c r="D59" s="416"/>
      <c r="E59" s="416"/>
      <c r="F59" s="416"/>
      <c r="G59" s="416"/>
      <c r="H59" s="416"/>
      <c r="I59" s="416"/>
      <c r="J59" s="416"/>
      <c r="K59" s="416"/>
      <c r="L59" s="416"/>
      <c r="M59" s="417"/>
      <c r="N59" s="36"/>
    </row>
    <row r="60" spans="1:14" ht="15" customHeight="1">
      <c r="A60" s="34"/>
      <c r="B60" s="418" t="s">
        <v>394</v>
      </c>
      <c r="C60" s="419"/>
      <c r="D60" s="419"/>
      <c r="E60" s="419"/>
      <c r="F60" s="419"/>
      <c r="G60" s="419"/>
      <c r="H60" s="419"/>
      <c r="I60" s="419"/>
      <c r="J60" s="419"/>
      <c r="K60" s="419"/>
      <c r="L60" s="419"/>
      <c r="M60" s="420"/>
      <c r="N60" s="36"/>
    </row>
    <row r="61" spans="1:14">
      <c r="A61" s="34"/>
      <c r="B61" s="418"/>
      <c r="C61" s="419"/>
      <c r="D61" s="419"/>
      <c r="E61" s="419"/>
      <c r="F61" s="419"/>
      <c r="G61" s="419"/>
      <c r="H61" s="419"/>
      <c r="I61" s="419"/>
      <c r="J61" s="419"/>
      <c r="K61" s="419"/>
      <c r="L61" s="419"/>
      <c r="M61" s="420"/>
      <c r="N61" s="36"/>
    </row>
    <row r="62" spans="1:14" ht="15.75" thickBot="1">
      <c r="A62" s="34"/>
      <c r="B62" s="173"/>
      <c r="C62" s="174"/>
      <c r="D62" s="174"/>
      <c r="E62" s="174"/>
      <c r="F62" s="174"/>
      <c r="G62" s="174"/>
      <c r="H62" s="174"/>
      <c r="I62" s="174"/>
      <c r="J62" s="174"/>
      <c r="K62" s="174"/>
      <c r="L62" s="174"/>
      <c r="M62" s="175"/>
      <c r="N62" s="36"/>
    </row>
    <row r="63" spans="1:14" ht="15.75" thickBot="1">
      <c r="A63" s="34"/>
      <c r="B63" s="172"/>
      <c r="C63" s="35"/>
      <c r="D63" s="35"/>
      <c r="E63" s="35"/>
      <c r="F63" s="35"/>
      <c r="G63" s="35"/>
      <c r="H63" s="35"/>
      <c r="I63" s="35"/>
      <c r="J63" s="35"/>
      <c r="K63" s="35"/>
      <c r="L63" s="35"/>
      <c r="M63" s="35"/>
      <c r="N63" s="36"/>
    </row>
    <row r="64" spans="1:14" ht="20.25" thickBot="1">
      <c r="A64" s="34"/>
      <c r="B64" s="151" t="s">
        <v>385</v>
      </c>
      <c r="C64" s="152"/>
      <c r="D64" s="152"/>
      <c r="E64" s="152"/>
      <c r="F64" s="152"/>
      <c r="G64" s="152"/>
      <c r="H64" s="152"/>
      <c r="I64" s="152"/>
      <c r="J64" s="152"/>
      <c r="K64" s="152"/>
      <c r="L64" s="152"/>
      <c r="M64" s="164" t="s">
        <v>5</v>
      </c>
      <c r="N64" s="36"/>
    </row>
    <row r="65" spans="1:14">
      <c r="A65" s="34"/>
      <c r="B65" s="402" t="s">
        <v>395</v>
      </c>
      <c r="C65" s="403"/>
      <c r="D65" s="403"/>
      <c r="E65" s="403"/>
      <c r="F65" s="403"/>
      <c r="G65" s="403"/>
      <c r="H65" s="403"/>
      <c r="I65" s="403"/>
      <c r="J65" s="403"/>
      <c r="K65" s="403"/>
      <c r="L65" s="403"/>
      <c r="M65" s="404"/>
      <c r="N65" s="36"/>
    </row>
    <row r="66" spans="1:14">
      <c r="A66" s="34"/>
      <c r="B66" s="399"/>
      <c r="C66" s="400"/>
      <c r="D66" s="400"/>
      <c r="E66" s="400"/>
      <c r="F66" s="400"/>
      <c r="G66" s="400"/>
      <c r="H66" s="400"/>
      <c r="I66" s="400"/>
      <c r="J66" s="400"/>
      <c r="K66" s="400"/>
      <c r="L66" s="400"/>
      <c r="M66" s="401"/>
      <c r="N66" s="36"/>
    </row>
    <row r="67" spans="1:14">
      <c r="A67" s="34"/>
      <c r="B67" s="421" t="s">
        <v>386</v>
      </c>
      <c r="C67" s="422"/>
      <c r="D67" s="422"/>
      <c r="E67" s="422"/>
      <c r="F67" s="422"/>
      <c r="G67" s="422"/>
      <c r="H67" s="422"/>
      <c r="I67" s="422"/>
      <c r="J67" s="422"/>
      <c r="K67" s="422"/>
      <c r="L67" s="422"/>
      <c r="M67" s="423"/>
      <c r="N67" s="36"/>
    </row>
    <row r="68" spans="1:14">
      <c r="A68" s="34"/>
      <c r="B68" s="399" t="s">
        <v>387</v>
      </c>
      <c r="C68" s="400"/>
      <c r="D68" s="400"/>
      <c r="E68" s="400"/>
      <c r="F68" s="400"/>
      <c r="G68" s="400"/>
      <c r="H68" s="400"/>
      <c r="I68" s="400"/>
      <c r="J68" s="400"/>
      <c r="K68" s="400"/>
      <c r="L68" s="400"/>
      <c r="M68" s="401"/>
      <c r="N68" s="36"/>
    </row>
    <row r="69" spans="1:14">
      <c r="A69" s="34"/>
      <c r="B69" s="399"/>
      <c r="C69" s="400"/>
      <c r="D69" s="400"/>
      <c r="E69" s="400"/>
      <c r="F69" s="400"/>
      <c r="G69" s="400"/>
      <c r="H69" s="400"/>
      <c r="I69" s="400"/>
      <c r="J69" s="400"/>
      <c r="K69" s="400"/>
      <c r="L69" s="400"/>
      <c r="M69" s="401"/>
      <c r="N69" s="36"/>
    </row>
    <row r="70" spans="1:14" ht="15.75" thickBot="1">
      <c r="A70" s="34"/>
      <c r="B70" s="176"/>
      <c r="C70" s="174"/>
      <c r="D70" s="174"/>
      <c r="E70" s="174"/>
      <c r="F70" s="174"/>
      <c r="G70" s="174"/>
      <c r="H70" s="174"/>
      <c r="I70" s="174"/>
      <c r="J70" s="174"/>
      <c r="K70" s="174"/>
      <c r="L70" s="174"/>
      <c r="M70" s="175"/>
      <c r="N70" s="36"/>
    </row>
    <row r="71" spans="1:14" ht="15.75" thickBot="1">
      <c r="A71" s="34"/>
      <c r="B71" s="172"/>
      <c r="C71" s="35"/>
      <c r="D71" s="35"/>
      <c r="E71" s="35"/>
      <c r="F71" s="35"/>
      <c r="G71" s="35"/>
      <c r="H71" s="35"/>
      <c r="I71" s="35"/>
      <c r="J71" s="35"/>
      <c r="K71" s="35"/>
      <c r="L71" s="35"/>
      <c r="M71" s="35"/>
      <c r="N71" s="36"/>
    </row>
    <row r="72" spans="1:14" ht="19.5" customHeight="1" thickBot="1">
      <c r="A72" s="34"/>
      <c r="B72" s="157" t="s">
        <v>388</v>
      </c>
      <c r="C72" s="156"/>
      <c r="D72" s="156"/>
      <c r="E72" s="156"/>
      <c r="F72" s="156"/>
      <c r="G72" s="156"/>
      <c r="H72" s="156"/>
      <c r="I72" s="156"/>
      <c r="J72" s="156"/>
      <c r="K72" s="156"/>
      <c r="L72" s="156"/>
      <c r="M72" s="164" t="s">
        <v>5</v>
      </c>
      <c r="N72" s="36"/>
    </row>
    <row r="73" spans="1:14">
      <c r="A73" s="34"/>
      <c r="B73" s="177" t="s">
        <v>396</v>
      </c>
      <c r="C73" s="179"/>
      <c r="D73" s="179"/>
      <c r="E73" s="179"/>
      <c r="F73" s="179"/>
      <c r="G73" s="179"/>
      <c r="H73" s="179"/>
      <c r="I73" s="179"/>
      <c r="J73" s="179"/>
      <c r="K73" s="179"/>
      <c r="L73" s="179"/>
      <c r="M73" s="180"/>
      <c r="N73" s="36"/>
    </row>
    <row r="74" spans="1:14">
      <c r="A74" s="34"/>
      <c r="B74" s="178" t="s">
        <v>397</v>
      </c>
      <c r="C74" s="160"/>
      <c r="D74" s="160"/>
      <c r="E74" s="160"/>
      <c r="F74" s="160"/>
      <c r="G74" s="160"/>
      <c r="H74" s="160"/>
      <c r="I74" s="160"/>
      <c r="J74" s="160"/>
      <c r="K74" s="160"/>
      <c r="L74" s="160"/>
      <c r="M74" s="161"/>
      <c r="N74" s="36"/>
    </row>
    <row r="75" spans="1:14">
      <c r="A75" s="34"/>
      <c r="B75" s="399" t="s">
        <v>398</v>
      </c>
      <c r="C75" s="400"/>
      <c r="D75" s="400"/>
      <c r="E75" s="400"/>
      <c r="F75" s="400"/>
      <c r="G75" s="400"/>
      <c r="H75" s="400"/>
      <c r="I75" s="400"/>
      <c r="J75" s="400"/>
      <c r="K75" s="400"/>
      <c r="L75" s="400"/>
      <c r="M75" s="401"/>
      <c r="N75" s="36"/>
    </row>
    <row r="76" spans="1:14">
      <c r="A76" s="34"/>
      <c r="B76" s="399"/>
      <c r="C76" s="400"/>
      <c r="D76" s="400"/>
      <c r="E76" s="400"/>
      <c r="F76" s="400"/>
      <c r="G76" s="400"/>
      <c r="H76" s="400"/>
      <c r="I76" s="400"/>
      <c r="J76" s="400"/>
      <c r="K76" s="400"/>
      <c r="L76" s="400"/>
      <c r="M76" s="401"/>
      <c r="N76" s="36"/>
    </row>
    <row r="77" spans="1:14" ht="15.75" thickBot="1">
      <c r="A77" s="34"/>
      <c r="B77" s="176"/>
      <c r="C77" s="174"/>
      <c r="D77" s="174"/>
      <c r="E77" s="174"/>
      <c r="F77" s="174"/>
      <c r="G77" s="174"/>
      <c r="H77" s="174"/>
      <c r="I77" s="174"/>
      <c r="J77" s="174"/>
      <c r="K77" s="174"/>
      <c r="L77" s="174"/>
      <c r="M77" s="175"/>
      <c r="N77" s="36"/>
    </row>
    <row r="78" spans="1:14" ht="15.75" thickBot="1">
      <c r="A78" s="34"/>
      <c r="B78" s="172"/>
      <c r="C78" s="35"/>
      <c r="D78" s="35"/>
      <c r="E78" s="35"/>
      <c r="F78" s="35"/>
      <c r="G78" s="35"/>
      <c r="H78" s="35"/>
      <c r="I78" s="35"/>
      <c r="J78" s="35"/>
      <c r="K78" s="35"/>
      <c r="L78" s="35"/>
      <c r="M78" s="35"/>
      <c r="N78" s="36"/>
    </row>
    <row r="79" spans="1:14" ht="20.25" thickBot="1">
      <c r="A79" s="34"/>
      <c r="B79" s="157" t="s">
        <v>389</v>
      </c>
      <c r="C79" s="158"/>
      <c r="D79" s="158"/>
      <c r="E79" s="158"/>
      <c r="F79" s="158"/>
      <c r="G79" s="158"/>
      <c r="H79" s="158"/>
      <c r="I79" s="158"/>
      <c r="J79" s="158"/>
      <c r="K79" s="158"/>
      <c r="L79" s="158"/>
      <c r="M79" s="164" t="s">
        <v>5</v>
      </c>
      <c r="N79" s="36"/>
    </row>
    <row r="80" spans="1:14">
      <c r="A80" s="34"/>
      <c r="B80" s="177" t="s">
        <v>409</v>
      </c>
      <c r="C80" s="42"/>
      <c r="D80" s="42"/>
      <c r="E80" s="42"/>
      <c r="F80" s="42"/>
      <c r="G80" s="42"/>
      <c r="H80" s="42"/>
      <c r="I80" s="42"/>
      <c r="J80" s="42"/>
      <c r="K80" s="42"/>
      <c r="L80" s="42"/>
      <c r="M80" s="43"/>
      <c r="N80" s="36"/>
    </row>
    <row r="81" spans="1:14">
      <c r="A81" s="34"/>
      <c r="B81" s="178" t="s">
        <v>399</v>
      </c>
      <c r="C81" s="45"/>
      <c r="D81" s="45"/>
      <c r="E81" s="45"/>
      <c r="F81" s="45"/>
      <c r="G81" s="45"/>
      <c r="H81" s="45"/>
      <c r="I81" s="45"/>
      <c r="J81" s="45"/>
      <c r="K81" s="45"/>
      <c r="L81" s="45"/>
      <c r="M81" s="46"/>
      <c r="N81" s="36"/>
    </row>
    <row r="82" spans="1:14">
      <c r="A82" s="34"/>
      <c r="B82" s="178" t="s">
        <v>400</v>
      </c>
      <c r="C82" s="45"/>
      <c r="D82" s="45"/>
      <c r="E82" s="45"/>
      <c r="F82" s="45"/>
      <c r="G82" s="45"/>
      <c r="H82" s="45"/>
      <c r="I82" s="45"/>
      <c r="J82" s="45"/>
      <c r="K82" s="45"/>
      <c r="L82" s="45"/>
      <c r="M82" s="46"/>
      <c r="N82" s="36"/>
    </row>
    <row r="83" spans="1:14" ht="15.75" thickBot="1">
      <c r="A83" s="34"/>
      <c r="B83" s="159"/>
      <c r="C83" s="162"/>
      <c r="D83" s="162"/>
      <c r="E83" s="162"/>
      <c r="F83" s="162"/>
      <c r="G83" s="162"/>
      <c r="H83" s="162"/>
      <c r="I83" s="162"/>
      <c r="J83" s="162"/>
      <c r="K83" s="162"/>
      <c r="L83" s="162"/>
      <c r="M83" s="163"/>
      <c r="N83" s="36"/>
    </row>
    <row r="84" spans="1:14" ht="15.75" thickBot="1">
      <c r="A84" s="34"/>
      <c r="B84" s="172"/>
      <c r="C84" s="35"/>
      <c r="D84" s="35"/>
      <c r="E84" s="35"/>
      <c r="F84" s="35"/>
      <c r="G84" s="35"/>
      <c r="H84" s="35"/>
      <c r="I84" s="35"/>
      <c r="J84" s="35"/>
      <c r="K84" s="35"/>
      <c r="L84" s="35"/>
      <c r="M84" s="35"/>
      <c r="N84" s="36"/>
    </row>
    <row r="85" spans="1:14" ht="19.5" customHeight="1" thickBot="1">
      <c r="A85" s="34"/>
      <c r="B85" s="157" t="s">
        <v>390</v>
      </c>
      <c r="C85" s="158"/>
      <c r="D85" s="158"/>
      <c r="E85" s="158"/>
      <c r="F85" s="158"/>
      <c r="G85" s="158"/>
      <c r="H85" s="158"/>
      <c r="I85" s="158"/>
      <c r="J85" s="158"/>
      <c r="K85" s="158"/>
      <c r="L85" s="158"/>
      <c r="M85" s="164" t="s">
        <v>5</v>
      </c>
      <c r="N85" s="36"/>
    </row>
    <row r="86" spans="1:14">
      <c r="A86" s="34"/>
      <c r="B86" s="405" t="s">
        <v>401</v>
      </c>
      <c r="C86" s="406"/>
      <c r="D86" s="406"/>
      <c r="E86" s="406"/>
      <c r="F86" s="406"/>
      <c r="G86" s="406"/>
      <c r="H86" s="406"/>
      <c r="I86" s="406"/>
      <c r="J86" s="406"/>
      <c r="K86" s="406"/>
      <c r="L86" s="406"/>
      <c r="M86" s="407"/>
      <c r="N86" s="36"/>
    </row>
    <row r="87" spans="1:14">
      <c r="A87" s="34"/>
      <c r="B87" s="408"/>
      <c r="C87" s="409"/>
      <c r="D87" s="409"/>
      <c r="E87" s="409"/>
      <c r="F87" s="409"/>
      <c r="G87" s="409"/>
      <c r="H87" s="409"/>
      <c r="I87" s="409"/>
      <c r="J87" s="409"/>
      <c r="K87" s="409"/>
      <c r="L87" s="409"/>
      <c r="M87" s="410"/>
      <c r="N87" s="36"/>
    </row>
    <row r="88" spans="1:14">
      <c r="A88" s="34"/>
      <c r="B88" s="399" t="s">
        <v>402</v>
      </c>
      <c r="C88" s="400"/>
      <c r="D88" s="400"/>
      <c r="E88" s="400"/>
      <c r="F88" s="400"/>
      <c r="G88" s="400"/>
      <c r="H88" s="400"/>
      <c r="I88" s="400"/>
      <c r="J88" s="400"/>
      <c r="K88" s="400"/>
      <c r="L88" s="400"/>
      <c r="M88" s="401"/>
      <c r="N88" s="36"/>
    </row>
    <row r="89" spans="1:14">
      <c r="A89" s="34"/>
      <c r="B89" s="399"/>
      <c r="C89" s="400"/>
      <c r="D89" s="400"/>
      <c r="E89" s="400"/>
      <c r="F89" s="400"/>
      <c r="G89" s="400"/>
      <c r="H89" s="400"/>
      <c r="I89" s="400"/>
      <c r="J89" s="400"/>
      <c r="K89" s="400"/>
      <c r="L89" s="400"/>
      <c r="M89" s="401"/>
      <c r="N89" s="36"/>
    </row>
    <row r="90" spans="1:14">
      <c r="A90" s="34"/>
      <c r="B90" s="399" t="s">
        <v>403</v>
      </c>
      <c r="C90" s="400"/>
      <c r="D90" s="400"/>
      <c r="E90" s="400"/>
      <c r="F90" s="400"/>
      <c r="G90" s="400"/>
      <c r="H90" s="400"/>
      <c r="I90" s="400"/>
      <c r="J90" s="400"/>
      <c r="K90" s="400"/>
      <c r="L90" s="400"/>
      <c r="M90" s="401"/>
      <c r="N90" s="36"/>
    </row>
    <row r="91" spans="1:14">
      <c r="A91" s="34"/>
      <c r="B91" s="399"/>
      <c r="C91" s="400"/>
      <c r="D91" s="400"/>
      <c r="E91" s="400"/>
      <c r="F91" s="400"/>
      <c r="G91" s="400"/>
      <c r="H91" s="400"/>
      <c r="I91" s="400"/>
      <c r="J91" s="400"/>
      <c r="K91" s="400"/>
      <c r="L91" s="400"/>
      <c r="M91" s="401"/>
      <c r="N91" s="36"/>
    </row>
    <row r="92" spans="1:14" ht="15.75" thickBot="1">
      <c r="A92" s="34"/>
      <c r="B92" s="159"/>
      <c r="C92" s="48"/>
      <c r="D92" s="48"/>
      <c r="E92" s="48"/>
      <c r="F92" s="48"/>
      <c r="G92" s="48"/>
      <c r="H92" s="48"/>
      <c r="I92" s="48"/>
      <c r="J92" s="48"/>
      <c r="K92" s="48"/>
      <c r="L92" s="48"/>
      <c r="M92" s="49"/>
      <c r="N92" s="36"/>
    </row>
    <row r="93" spans="1:14" ht="15.75" thickBot="1">
      <c r="A93" s="34"/>
      <c r="B93" s="172"/>
      <c r="C93" s="35"/>
      <c r="D93" s="35"/>
      <c r="E93" s="35"/>
      <c r="F93" s="35"/>
      <c r="G93" s="35"/>
      <c r="H93" s="35"/>
      <c r="I93" s="35"/>
      <c r="J93" s="35"/>
      <c r="K93" s="35"/>
      <c r="L93" s="35"/>
      <c r="M93" s="35"/>
      <c r="N93" s="36"/>
    </row>
    <row r="94" spans="1:14" ht="19.5" customHeight="1" thickBot="1">
      <c r="A94" s="34"/>
      <c r="B94" s="157" t="s">
        <v>391</v>
      </c>
      <c r="C94" s="158"/>
      <c r="D94" s="158"/>
      <c r="E94" s="158"/>
      <c r="F94" s="158"/>
      <c r="G94" s="158"/>
      <c r="H94" s="158"/>
      <c r="I94" s="158"/>
      <c r="J94" s="158"/>
      <c r="K94" s="158"/>
      <c r="L94" s="158"/>
      <c r="M94" s="164" t="s">
        <v>5</v>
      </c>
      <c r="N94" s="36"/>
    </row>
    <row r="95" spans="1:14">
      <c r="A95" s="34"/>
      <c r="B95" s="177" t="s">
        <v>404</v>
      </c>
      <c r="C95" s="179"/>
      <c r="D95" s="179"/>
      <c r="E95" s="179"/>
      <c r="F95" s="179"/>
      <c r="G95" s="179"/>
      <c r="H95" s="179"/>
      <c r="I95" s="179"/>
      <c r="J95" s="179"/>
      <c r="K95" s="179"/>
      <c r="L95" s="179"/>
      <c r="M95" s="180"/>
      <c r="N95" s="36"/>
    </row>
    <row r="96" spans="1:14">
      <c r="A96" s="34"/>
      <c r="B96" s="178" t="s">
        <v>405</v>
      </c>
      <c r="C96" s="160"/>
      <c r="D96" s="160"/>
      <c r="E96" s="160"/>
      <c r="F96" s="160"/>
      <c r="G96" s="160"/>
      <c r="H96" s="160"/>
      <c r="I96" s="160"/>
      <c r="J96" s="160"/>
      <c r="K96" s="160"/>
      <c r="L96" s="160"/>
      <c r="M96" s="161"/>
      <c r="N96" s="36"/>
    </row>
    <row r="97" spans="1:14">
      <c r="A97" s="34"/>
      <c r="B97" s="399" t="s">
        <v>406</v>
      </c>
      <c r="C97" s="400"/>
      <c r="D97" s="400"/>
      <c r="E97" s="400"/>
      <c r="F97" s="400"/>
      <c r="G97" s="400"/>
      <c r="H97" s="400"/>
      <c r="I97" s="400"/>
      <c r="J97" s="400"/>
      <c r="K97" s="400"/>
      <c r="L97" s="400"/>
      <c r="M97" s="401"/>
      <c r="N97" s="36"/>
    </row>
    <row r="98" spans="1:14">
      <c r="A98" s="34"/>
      <c r="B98" s="399"/>
      <c r="C98" s="400"/>
      <c r="D98" s="400"/>
      <c r="E98" s="400"/>
      <c r="F98" s="400"/>
      <c r="G98" s="400"/>
      <c r="H98" s="400"/>
      <c r="I98" s="400"/>
      <c r="J98" s="400"/>
      <c r="K98" s="400"/>
      <c r="L98" s="400"/>
      <c r="M98" s="401"/>
      <c r="N98" s="36"/>
    </row>
    <row r="99" spans="1:14" ht="15.75" thickBot="1">
      <c r="A99" s="34"/>
      <c r="B99" s="176"/>
      <c r="C99" s="174"/>
      <c r="D99" s="174"/>
      <c r="E99" s="174"/>
      <c r="F99" s="174"/>
      <c r="G99" s="174"/>
      <c r="H99" s="174"/>
      <c r="I99" s="174"/>
      <c r="J99" s="174"/>
      <c r="K99" s="174"/>
      <c r="L99" s="174"/>
      <c r="M99" s="175"/>
      <c r="N99" s="36"/>
    </row>
    <row r="100" spans="1:14" ht="15.75" thickBot="1">
      <c r="A100" s="34"/>
      <c r="B100" s="172"/>
      <c r="C100" s="35"/>
      <c r="D100" s="35"/>
      <c r="E100" s="35"/>
      <c r="F100" s="35"/>
      <c r="G100" s="35"/>
      <c r="H100" s="35"/>
      <c r="I100" s="35"/>
      <c r="J100" s="35"/>
      <c r="K100" s="35"/>
      <c r="L100" s="35"/>
      <c r="M100" s="35"/>
      <c r="N100" s="36"/>
    </row>
    <row r="101" spans="1:14" ht="19.5" customHeight="1" thickBot="1">
      <c r="A101" s="34"/>
      <c r="B101" s="157" t="s">
        <v>392</v>
      </c>
      <c r="C101" s="158"/>
      <c r="D101" s="158"/>
      <c r="E101" s="158"/>
      <c r="F101" s="158"/>
      <c r="G101" s="158"/>
      <c r="H101" s="158"/>
      <c r="I101" s="158"/>
      <c r="J101" s="158"/>
      <c r="K101" s="158"/>
      <c r="L101" s="158"/>
      <c r="M101" s="164" t="s">
        <v>5</v>
      </c>
      <c r="N101" s="36"/>
    </row>
    <row r="102" spans="1:14">
      <c r="A102" s="34"/>
      <c r="B102" s="402" t="s">
        <v>423</v>
      </c>
      <c r="C102" s="403"/>
      <c r="D102" s="403"/>
      <c r="E102" s="403"/>
      <c r="F102" s="403"/>
      <c r="G102" s="403"/>
      <c r="H102" s="403"/>
      <c r="I102" s="403"/>
      <c r="J102" s="403"/>
      <c r="K102" s="403"/>
      <c r="L102" s="403"/>
      <c r="M102" s="404"/>
      <c r="N102" s="36"/>
    </row>
    <row r="103" spans="1:14">
      <c r="A103" s="34"/>
      <c r="B103" s="399"/>
      <c r="C103" s="400"/>
      <c r="D103" s="400"/>
      <c r="E103" s="400"/>
      <c r="F103" s="400"/>
      <c r="G103" s="400"/>
      <c r="H103" s="400"/>
      <c r="I103" s="400"/>
      <c r="J103" s="400"/>
      <c r="K103" s="400"/>
      <c r="L103" s="400"/>
      <c r="M103" s="401"/>
      <c r="N103" s="36"/>
    </row>
    <row r="104" spans="1:14">
      <c r="A104" s="34"/>
      <c r="B104" s="399" t="s">
        <v>407</v>
      </c>
      <c r="C104" s="400"/>
      <c r="D104" s="400"/>
      <c r="E104" s="400"/>
      <c r="F104" s="400"/>
      <c r="G104" s="400"/>
      <c r="H104" s="400"/>
      <c r="I104" s="400"/>
      <c r="J104" s="400"/>
      <c r="K104" s="400"/>
      <c r="L104" s="400"/>
      <c r="M104" s="401"/>
      <c r="N104" s="36"/>
    </row>
    <row r="105" spans="1:14">
      <c r="A105" s="34"/>
      <c r="B105" s="399"/>
      <c r="C105" s="400"/>
      <c r="D105" s="400"/>
      <c r="E105" s="400"/>
      <c r="F105" s="400"/>
      <c r="G105" s="400"/>
      <c r="H105" s="400"/>
      <c r="I105" s="400"/>
      <c r="J105" s="400"/>
      <c r="K105" s="400"/>
      <c r="L105" s="400"/>
      <c r="M105" s="401"/>
      <c r="N105" s="36"/>
    </row>
    <row r="106" spans="1:14">
      <c r="A106" s="34"/>
      <c r="B106" s="399" t="s">
        <v>424</v>
      </c>
      <c r="C106" s="400"/>
      <c r="D106" s="400"/>
      <c r="E106" s="400"/>
      <c r="F106" s="400"/>
      <c r="G106" s="400"/>
      <c r="H106" s="400"/>
      <c r="I106" s="400"/>
      <c r="J106" s="400"/>
      <c r="K106" s="400"/>
      <c r="L106" s="400"/>
      <c r="M106" s="401"/>
      <c r="N106" s="36"/>
    </row>
    <row r="107" spans="1:14">
      <c r="A107" s="34"/>
      <c r="B107" s="399"/>
      <c r="C107" s="400"/>
      <c r="D107" s="400"/>
      <c r="E107" s="400"/>
      <c r="F107" s="400"/>
      <c r="G107" s="400"/>
      <c r="H107" s="400"/>
      <c r="I107" s="400"/>
      <c r="J107" s="400"/>
      <c r="K107" s="400"/>
      <c r="L107" s="400"/>
      <c r="M107" s="401"/>
      <c r="N107" s="36"/>
    </row>
    <row r="108" spans="1:14" ht="15.75" thickBot="1">
      <c r="A108" s="34"/>
      <c r="B108" s="153"/>
      <c r="C108" s="48"/>
      <c r="D108" s="48"/>
      <c r="E108" s="48"/>
      <c r="F108" s="48"/>
      <c r="G108" s="48"/>
      <c r="H108" s="48"/>
      <c r="I108" s="48"/>
      <c r="J108" s="48"/>
      <c r="K108" s="48"/>
      <c r="L108" s="48"/>
      <c r="M108" s="49"/>
      <c r="N108" s="36"/>
    </row>
    <row r="109" spans="1:14" ht="15.75" thickBot="1">
      <c r="A109" s="34"/>
      <c r="B109" s="35"/>
      <c r="C109" s="35"/>
      <c r="D109" s="35"/>
      <c r="E109" s="35"/>
      <c r="F109" s="35"/>
      <c r="G109" s="35"/>
      <c r="H109" s="35"/>
      <c r="I109" s="35"/>
      <c r="J109" s="35"/>
      <c r="K109" s="35"/>
      <c r="L109" s="35"/>
      <c r="M109" s="35"/>
      <c r="N109" s="36"/>
    </row>
    <row r="110" spans="1:14" ht="20.25" thickBot="1">
      <c r="A110" s="188" t="s">
        <v>4</v>
      </c>
      <c r="B110" s="169" t="s">
        <v>422</v>
      </c>
      <c r="C110" s="152"/>
      <c r="D110" s="152"/>
      <c r="E110" s="152"/>
      <c r="F110" s="152"/>
      <c r="G110" s="152"/>
      <c r="H110" s="152"/>
      <c r="I110" s="152"/>
      <c r="J110" s="152"/>
      <c r="K110" s="152"/>
      <c r="L110" s="152"/>
      <c r="M110" s="186"/>
      <c r="N110" s="36"/>
    </row>
    <row r="111" spans="1:14">
      <c r="A111" s="34"/>
      <c r="B111" s="390" t="s">
        <v>435</v>
      </c>
      <c r="C111" s="391"/>
      <c r="D111" s="391"/>
      <c r="E111" s="391"/>
      <c r="F111" s="391"/>
      <c r="G111" s="391"/>
      <c r="H111" s="391"/>
      <c r="I111" s="391"/>
      <c r="J111" s="391"/>
      <c r="K111" s="391"/>
      <c r="L111" s="391"/>
      <c r="M111" s="392"/>
      <c r="N111" s="36"/>
    </row>
    <row r="112" spans="1:14">
      <c r="A112" s="34"/>
      <c r="B112" s="393"/>
      <c r="C112" s="394"/>
      <c r="D112" s="394"/>
      <c r="E112" s="394"/>
      <c r="F112" s="394"/>
      <c r="G112" s="394"/>
      <c r="H112" s="394"/>
      <c r="I112" s="394"/>
      <c r="J112" s="394"/>
      <c r="K112" s="394"/>
      <c r="L112" s="394"/>
      <c r="M112" s="395"/>
      <c r="N112" s="36"/>
    </row>
    <row r="113" spans="1:14">
      <c r="A113" s="34"/>
      <c r="B113" s="393"/>
      <c r="C113" s="394"/>
      <c r="D113" s="394"/>
      <c r="E113" s="394"/>
      <c r="F113" s="394"/>
      <c r="G113" s="394"/>
      <c r="H113" s="394"/>
      <c r="I113" s="394"/>
      <c r="J113" s="394"/>
      <c r="K113" s="394"/>
      <c r="L113" s="394"/>
      <c r="M113" s="395"/>
      <c r="N113" s="36"/>
    </row>
    <row r="114" spans="1:14">
      <c r="A114" s="34"/>
      <c r="B114" s="393"/>
      <c r="C114" s="394"/>
      <c r="D114" s="394"/>
      <c r="E114" s="394"/>
      <c r="F114" s="394"/>
      <c r="G114" s="394"/>
      <c r="H114" s="394"/>
      <c r="I114" s="394"/>
      <c r="J114" s="394"/>
      <c r="K114" s="394"/>
      <c r="L114" s="394"/>
      <c r="M114" s="395"/>
      <c r="N114" s="36"/>
    </row>
    <row r="115" spans="1:14">
      <c r="A115" s="34"/>
      <c r="B115" s="393"/>
      <c r="C115" s="394"/>
      <c r="D115" s="394"/>
      <c r="E115" s="394"/>
      <c r="F115" s="394"/>
      <c r="G115" s="394"/>
      <c r="H115" s="394"/>
      <c r="I115" s="394"/>
      <c r="J115" s="394"/>
      <c r="K115" s="394"/>
      <c r="L115" s="394"/>
      <c r="M115" s="395"/>
      <c r="N115" s="36"/>
    </row>
    <row r="116" spans="1:14" ht="15.75" thickBot="1">
      <c r="A116" s="34"/>
      <c r="B116" s="396"/>
      <c r="C116" s="397"/>
      <c r="D116" s="397"/>
      <c r="E116" s="397"/>
      <c r="F116" s="397"/>
      <c r="G116" s="397"/>
      <c r="H116" s="397"/>
      <c r="I116" s="397"/>
      <c r="J116" s="397"/>
      <c r="K116" s="397"/>
      <c r="L116" s="397"/>
      <c r="M116" s="398"/>
      <c r="N116" s="36"/>
    </row>
    <row r="117" spans="1:14" ht="15.75" thickBot="1">
      <c r="A117" s="37"/>
      <c r="B117" s="38"/>
      <c r="C117" s="38"/>
      <c r="D117" s="38"/>
      <c r="E117" s="38"/>
      <c r="F117" s="38"/>
      <c r="G117" s="38"/>
      <c r="H117" s="38"/>
      <c r="I117" s="38"/>
      <c r="J117" s="38"/>
      <c r="K117" s="38"/>
      <c r="L117" s="38"/>
      <c r="M117" s="38"/>
      <c r="N117" s="39"/>
    </row>
  </sheetData>
  <mergeCells count="28">
    <mergeCell ref="B6:M7"/>
    <mergeCell ref="B8:M9"/>
    <mergeCell ref="B10:M11"/>
    <mergeCell ref="B12:M13"/>
    <mergeCell ref="B15:M16"/>
    <mergeCell ref="B5:C5"/>
    <mergeCell ref="B97:M98"/>
    <mergeCell ref="B102:M103"/>
    <mergeCell ref="B104:M105"/>
    <mergeCell ref="B106:M107"/>
    <mergeCell ref="B86:M87"/>
    <mergeCell ref="B88:M89"/>
    <mergeCell ref="B90:M91"/>
    <mergeCell ref="C36:M39"/>
    <mergeCell ref="B42:M47"/>
    <mergeCell ref="B50:M55"/>
    <mergeCell ref="B58:M58"/>
    <mergeCell ref="B59:M59"/>
    <mergeCell ref="B60:M61"/>
    <mergeCell ref="B65:M66"/>
    <mergeCell ref="B67:M67"/>
    <mergeCell ref="C20:L21"/>
    <mergeCell ref="C28:L29"/>
    <mergeCell ref="C30:L31"/>
    <mergeCell ref="C32:L33"/>
    <mergeCell ref="B111:M116"/>
    <mergeCell ref="B68:M69"/>
    <mergeCell ref="B75:M76"/>
  </mergeCells>
  <conditionalFormatting sqref="A5">
    <cfRule type="expression" dxfId="15" priority="21">
      <formula>$H$34="No"</formula>
    </cfRule>
  </conditionalFormatting>
  <conditionalFormatting sqref="A35">
    <cfRule type="expression" dxfId="14" priority="1">
      <formula>$H$34="No"</formula>
    </cfRule>
  </conditionalFormatting>
  <conditionalFormatting sqref="M21:M24">
    <cfRule type="expression" dxfId="13" priority="17">
      <formula>$H$34="No"</formula>
    </cfRule>
  </conditionalFormatting>
  <conditionalFormatting sqref="M30:M31">
    <cfRule type="expression" dxfId="12" priority="16">
      <formula>$H$34="No"</formula>
    </cfRule>
  </conditionalFormatting>
  <conditionalFormatting sqref="M57">
    <cfRule type="expression" dxfId="11" priority="8">
      <formula>$H$34="No"</formula>
    </cfRule>
  </conditionalFormatting>
  <conditionalFormatting sqref="M64">
    <cfRule type="expression" dxfId="10" priority="7">
      <formula>$H$34="No"</formula>
    </cfRule>
  </conditionalFormatting>
  <conditionalFormatting sqref="M72">
    <cfRule type="expression" dxfId="9" priority="6">
      <formula>$H$34="No"</formula>
    </cfRule>
  </conditionalFormatting>
  <conditionalFormatting sqref="M79">
    <cfRule type="expression" dxfId="8" priority="5">
      <formula>$H$34="No"</formula>
    </cfRule>
  </conditionalFormatting>
  <conditionalFormatting sqref="M85">
    <cfRule type="expression" dxfId="7" priority="4">
      <formula>$H$34="No"</formula>
    </cfRule>
  </conditionalFormatting>
  <conditionalFormatting sqref="M94">
    <cfRule type="expression" dxfId="6" priority="2">
      <formula>$H$34="No"</formula>
    </cfRule>
  </conditionalFormatting>
  <conditionalFormatting sqref="M101">
    <cfRule type="expression" dxfId="5" priority="3">
      <formula>$H$34="No"</formula>
    </cfRule>
  </conditionalFormatting>
  <hyperlinks>
    <hyperlink ref="A5" r:id="rId1" xr:uid="{0CD137A6-E056-482F-8B16-45CAE3D484BA}"/>
    <hyperlink ref="M22" r:id="rId2" xr:uid="{C4C58531-C619-497C-8657-BE36D790E24E}"/>
    <hyperlink ref="M23" r:id="rId3" xr:uid="{9E738B39-F7D3-41FB-8698-F23D7EF5E6BC}"/>
    <hyperlink ref="M24" r:id="rId4" xr:uid="{AC7F5242-85D0-4F11-A47B-738B0BDAD7DD}"/>
    <hyperlink ref="M57" r:id="rId5" xr:uid="{FA45FF2E-5C53-41E2-8F9A-F65225BBBEB6}"/>
    <hyperlink ref="M64" r:id="rId6" xr:uid="{2E745B78-D0BB-4D75-92AD-A459C42B6A01}"/>
    <hyperlink ref="M72" r:id="rId7" xr:uid="{ED77B7C9-75CB-4015-A1A1-FFEAD1051E81}"/>
    <hyperlink ref="M79" r:id="rId8" xr:uid="{A19E3F14-A9DC-47EE-86BC-01052D7B4596}"/>
    <hyperlink ref="M85" r:id="rId9" xr:uid="{4B16AD57-BC33-4E2F-93B4-1F70B25F5F7C}"/>
    <hyperlink ref="M101" r:id="rId10" xr:uid="{15605517-E252-45E4-B739-54619CB85DEE}"/>
    <hyperlink ref="M94" r:id="rId11" xr:uid="{1B790632-31B7-4002-A3E5-8ABFA6927EAC}"/>
    <hyperlink ref="A35" r:id="rId12" xr:uid="{FED5255F-BE1A-4613-BD59-32E612532051}"/>
    <hyperlink ref="M30" r:id="rId13" xr:uid="{4018CBFE-4D86-43D9-9A81-253859073804}"/>
  </hyperlinks>
  <pageMargins left="0.7" right="0.7" top="0.75" bottom="0.75" header="0.3" footer="0.3"/>
  <drawing r:id="rId14"/>
  <legacyDrawing r:id="rId15"/>
  <mc:AlternateContent xmlns:mc="http://schemas.openxmlformats.org/markup-compatibility/2006">
    <mc:Choice Requires="x14">
      <controls>
        <mc:AlternateContent xmlns:mc="http://schemas.openxmlformats.org/markup-compatibility/2006">
          <mc:Choice Requires="x14">
            <control shapeId="7187" r:id="rId16" name="Check Box 19">
              <controlPr defaultSize="0" autoFill="0" autoLine="0" autoPict="0">
                <anchor moveWithCells="1">
                  <from>
                    <xdr:col>1</xdr:col>
                    <xdr:colOff>390525</xdr:colOff>
                    <xdr:row>22</xdr:row>
                    <xdr:rowOff>0</xdr:rowOff>
                  </from>
                  <to>
                    <xdr:col>2</xdr:col>
                    <xdr:colOff>0</xdr:colOff>
                    <xdr:row>23</xdr:row>
                    <xdr:rowOff>0</xdr:rowOff>
                  </to>
                </anchor>
              </controlPr>
            </control>
          </mc:Choice>
        </mc:AlternateContent>
        <mc:AlternateContent xmlns:mc="http://schemas.openxmlformats.org/markup-compatibility/2006">
          <mc:Choice Requires="x14">
            <control shapeId="7188" r:id="rId17" name="Check Box 20">
              <controlPr defaultSize="0" autoFill="0" autoLine="0" autoPict="0">
                <anchor moveWithCells="1">
                  <from>
                    <xdr:col>1</xdr:col>
                    <xdr:colOff>390525</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7189" r:id="rId18" name="Check Box 21">
              <controlPr defaultSize="0" autoFill="0" autoLine="0" autoPict="0">
                <anchor moveWithCells="1">
                  <from>
                    <xdr:col>1</xdr:col>
                    <xdr:colOff>390525</xdr:colOff>
                    <xdr:row>23</xdr:row>
                    <xdr:rowOff>0</xdr:rowOff>
                  </from>
                  <to>
                    <xdr:col>2</xdr:col>
                    <xdr:colOff>0</xdr:colOff>
                    <xdr:row>24</xdr:row>
                    <xdr:rowOff>0</xdr:rowOff>
                  </to>
                </anchor>
              </controlPr>
            </control>
          </mc:Choice>
        </mc:AlternateContent>
        <mc:AlternateContent xmlns:mc="http://schemas.openxmlformats.org/markup-compatibility/2006">
          <mc:Choice Requires="x14">
            <control shapeId="7190" r:id="rId19" name="Check Box 22">
              <controlPr defaultSize="0" autoFill="0" autoLine="0" autoPict="0">
                <anchor moveWithCells="1">
                  <from>
                    <xdr:col>1</xdr:col>
                    <xdr:colOff>390525</xdr:colOff>
                    <xdr:row>25</xdr:row>
                    <xdr:rowOff>0</xdr:rowOff>
                  </from>
                  <to>
                    <xdr:col>2</xdr:col>
                    <xdr:colOff>0</xdr:colOff>
                    <xdr:row>26</xdr:row>
                    <xdr:rowOff>9525</xdr:rowOff>
                  </to>
                </anchor>
              </controlPr>
            </control>
          </mc:Choice>
        </mc:AlternateContent>
        <mc:AlternateContent xmlns:mc="http://schemas.openxmlformats.org/markup-compatibility/2006">
          <mc:Choice Requires="x14">
            <control shapeId="7191" r:id="rId20" name="Check Box 23">
              <controlPr defaultSize="0" autoFill="0" autoLine="0" autoPict="0">
                <anchor moveWithCells="1">
                  <from>
                    <xdr:col>1</xdr:col>
                    <xdr:colOff>390525</xdr:colOff>
                    <xdr:row>26</xdr:row>
                    <xdr:rowOff>0</xdr:rowOff>
                  </from>
                  <to>
                    <xdr:col>2</xdr:col>
                    <xdr:colOff>0</xdr:colOff>
                    <xdr:row>27</xdr:row>
                    <xdr:rowOff>9525</xdr:rowOff>
                  </to>
                </anchor>
              </controlPr>
            </control>
          </mc:Choice>
        </mc:AlternateContent>
        <mc:AlternateContent xmlns:mc="http://schemas.openxmlformats.org/markup-compatibility/2006">
          <mc:Choice Requires="x14">
            <control shapeId="7193" r:id="rId21" name="Check Box 25">
              <controlPr defaultSize="0" autoFill="0" autoLine="0" autoPict="0">
                <anchor moveWithCells="1">
                  <from>
                    <xdr:col>1</xdr:col>
                    <xdr:colOff>390525</xdr:colOff>
                    <xdr:row>19</xdr:row>
                    <xdr:rowOff>0</xdr:rowOff>
                  </from>
                  <to>
                    <xdr:col>2</xdr:col>
                    <xdr:colOff>0</xdr:colOff>
                    <xdr:row>20</xdr:row>
                    <xdr:rowOff>9525</xdr:rowOff>
                  </to>
                </anchor>
              </controlPr>
            </control>
          </mc:Choice>
        </mc:AlternateContent>
        <mc:AlternateContent xmlns:mc="http://schemas.openxmlformats.org/markup-compatibility/2006">
          <mc:Choice Requires="x14">
            <control shapeId="7194" r:id="rId22" name="Check Box 26">
              <controlPr defaultSize="0" autoFill="0" autoLine="0" autoPict="0">
                <anchor moveWithCells="1">
                  <from>
                    <xdr:col>1</xdr:col>
                    <xdr:colOff>390525</xdr:colOff>
                    <xdr:row>29</xdr:row>
                    <xdr:rowOff>0</xdr:rowOff>
                  </from>
                  <to>
                    <xdr:col>2</xdr:col>
                    <xdr:colOff>0</xdr:colOff>
                    <xdr:row>30</xdr:row>
                    <xdr:rowOff>9525</xdr:rowOff>
                  </to>
                </anchor>
              </controlPr>
            </control>
          </mc:Choice>
        </mc:AlternateContent>
        <mc:AlternateContent xmlns:mc="http://schemas.openxmlformats.org/markup-compatibility/2006">
          <mc:Choice Requires="x14">
            <control shapeId="7196" r:id="rId23" name="Check Box 28">
              <controlPr defaultSize="0" autoFill="0" autoLine="0" autoPict="0">
                <anchor moveWithCells="1">
                  <from>
                    <xdr:col>1</xdr:col>
                    <xdr:colOff>390525</xdr:colOff>
                    <xdr:row>31</xdr:row>
                    <xdr:rowOff>0</xdr:rowOff>
                  </from>
                  <to>
                    <xdr:col>2</xdr:col>
                    <xdr:colOff>0</xdr:colOff>
                    <xdr:row>32</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C016-DFE5-47F1-A566-2C957BAF7B77}">
  <sheetPr codeName="Sheet8">
    <tabColor theme="8" tint="-0.499984740745262"/>
  </sheetPr>
  <dimension ref="A1:P112"/>
  <sheetViews>
    <sheetView zoomScaleNormal="100" workbookViewId="0">
      <selection activeCell="B5" sqref="B5:C5"/>
    </sheetView>
  </sheetViews>
  <sheetFormatPr defaultRowHeight="15"/>
  <cols>
    <col min="11" max="11" width="20.140625" style="215" customWidth="1"/>
  </cols>
  <sheetData>
    <row r="1" spans="1:16">
      <c r="A1" s="40"/>
      <c r="B1" s="42"/>
      <c r="C1" s="42"/>
      <c r="D1" s="42"/>
      <c r="E1" s="42"/>
      <c r="F1" s="42"/>
      <c r="G1" s="42"/>
      <c r="H1" s="42"/>
      <c r="I1" s="42"/>
      <c r="J1" s="42"/>
      <c r="K1" s="212"/>
      <c r="L1" s="42"/>
      <c r="M1" s="42"/>
      <c r="N1" s="43"/>
    </row>
    <row r="2" spans="1:16">
      <c r="A2" s="44"/>
      <c r="B2" s="45"/>
      <c r="C2" s="45"/>
      <c r="D2" s="45"/>
      <c r="E2" s="45"/>
      <c r="F2" s="45"/>
      <c r="G2" s="45"/>
      <c r="H2" s="45"/>
      <c r="I2" s="45"/>
      <c r="J2" s="45"/>
      <c r="K2" s="213"/>
      <c r="L2" s="45"/>
      <c r="M2" s="45"/>
      <c r="N2" s="46"/>
    </row>
    <row r="3" spans="1:16">
      <c r="A3" s="44"/>
      <c r="B3" s="45"/>
      <c r="C3" s="45"/>
      <c r="D3" s="45"/>
      <c r="E3" s="45"/>
      <c r="F3" s="45"/>
      <c r="G3" s="45"/>
      <c r="H3" s="45"/>
      <c r="I3" s="45"/>
      <c r="J3" s="45"/>
      <c r="K3" s="213"/>
      <c r="L3" s="45"/>
      <c r="M3" s="45"/>
      <c r="N3" s="46"/>
    </row>
    <row r="4" spans="1:16">
      <c r="A4" s="44"/>
      <c r="B4" s="45"/>
      <c r="C4" s="45"/>
      <c r="D4" s="45"/>
      <c r="E4" s="45"/>
      <c r="F4" s="45"/>
      <c r="G4" s="45"/>
      <c r="H4" s="45"/>
      <c r="I4" s="45"/>
      <c r="J4" s="45"/>
      <c r="K4" s="213"/>
      <c r="L4" s="45"/>
      <c r="M4" s="45"/>
      <c r="N4" s="46"/>
    </row>
    <row r="5" spans="1:16" ht="21">
      <c r="A5" s="44"/>
      <c r="B5" s="365" t="s">
        <v>0</v>
      </c>
      <c r="C5" s="365"/>
      <c r="D5" s="45"/>
      <c r="E5" s="45"/>
      <c r="F5" s="45"/>
      <c r="G5" s="45"/>
      <c r="H5" s="45"/>
      <c r="I5" s="45"/>
      <c r="J5" s="45"/>
      <c r="K5" s="213"/>
      <c r="L5" s="45"/>
      <c r="M5" s="45"/>
      <c r="N5" s="46"/>
    </row>
    <row r="6" spans="1:16">
      <c r="A6" s="44"/>
      <c r="B6" s="377" t="str">
        <f>IF(DAWorkings!J108=TRUE,DAWorkings!J109,DAWorkings!J110)</f>
        <v>There are no actions or recommendations to be made, based on the responses in the Policy and Procedures page. 
From the responses provided the charity has no Special Category data, and therefore there is no requirement for a Data Processing Impact Assessment. However, as a matter of good practice, DPIA's are recommended when processing any personal data.</v>
      </c>
      <c r="C6" s="377"/>
      <c r="D6" s="377"/>
      <c r="E6" s="377"/>
      <c r="F6" s="377"/>
      <c r="G6" s="377"/>
      <c r="H6" s="377"/>
      <c r="I6" s="377"/>
      <c r="J6" s="377"/>
      <c r="K6" s="377"/>
      <c r="L6" s="377"/>
      <c r="M6" s="377"/>
      <c r="N6" s="46"/>
      <c r="P6" t="s">
        <v>497</v>
      </c>
    </row>
    <row r="7" spans="1:16">
      <c r="A7" s="44"/>
      <c r="B7" s="377"/>
      <c r="C7" s="377"/>
      <c r="D7" s="377"/>
      <c r="E7" s="377"/>
      <c r="F7" s="377"/>
      <c r="G7" s="377"/>
      <c r="H7" s="377"/>
      <c r="I7" s="377"/>
      <c r="J7" s="377"/>
      <c r="K7" s="377"/>
      <c r="L7" s="377"/>
      <c r="M7" s="377"/>
      <c r="N7" s="46"/>
    </row>
    <row r="8" spans="1:16">
      <c r="A8" s="44"/>
      <c r="B8" s="377"/>
      <c r="C8" s="377"/>
      <c r="D8" s="377"/>
      <c r="E8" s="377"/>
      <c r="F8" s="377"/>
      <c r="G8" s="377"/>
      <c r="H8" s="377"/>
      <c r="I8" s="377"/>
      <c r="J8" s="377"/>
      <c r="K8" s="377"/>
      <c r="L8" s="377"/>
      <c r="M8" s="377"/>
      <c r="N8" s="46"/>
    </row>
    <row r="9" spans="1:16">
      <c r="A9" s="44"/>
      <c r="B9" s="377"/>
      <c r="C9" s="377"/>
      <c r="D9" s="377"/>
      <c r="E9" s="377"/>
      <c r="F9" s="377"/>
      <c r="G9" s="377"/>
      <c r="H9" s="377"/>
      <c r="I9" s="377"/>
      <c r="J9" s="377"/>
      <c r="K9" s="377"/>
      <c r="L9" s="377"/>
      <c r="M9" s="377"/>
      <c r="N9" s="46"/>
    </row>
    <row r="10" spans="1:16">
      <c r="A10" s="44"/>
      <c r="B10" s="377"/>
      <c r="C10" s="377"/>
      <c r="D10" s="377"/>
      <c r="E10" s="377"/>
      <c r="F10" s="377"/>
      <c r="G10" s="377"/>
      <c r="H10" s="377"/>
      <c r="I10" s="377"/>
      <c r="J10" s="377"/>
      <c r="K10" s="377"/>
      <c r="L10" s="377"/>
      <c r="M10" s="377"/>
      <c r="N10" s="46"/>
    </row>
    <row r="11" spans="1:16">
      <c r="A11" s="44"/>
      <c r="B11" s="377"/>
      <c r="C11" s="377"/>
      <c r="D11" s="377"/>
      <c r="E11" s="377"/>
      <c r="F11" s="377"/>
      <c r="G11" s="377"/>
      <c r="H11" s="377"/>
      <c r="I11" s="377"/>
      <c r="J11" s="377"/>
      <c r="K11" s="377"/>
      <c r="L11" s="377"/>
      <c r="M11" s="377"/>
      <c r="N11" s="46"/>
    </row>
    <row r="12" spans="1:16" ht="15.75" thickBot="1">
      <c r="A12" s="47"/>
      <c r="B12" s="48"/>
      <c r="C12" s="48"/>
      <c r="D12" s="48"/>
      <c r="E12" s="48"/>
      <c r="F12" s="48"/>
      <c r="G12" s="48"/>
      <c r="H12" s="48"/>
      <c r="I12" s="48"/>
      <c r="J12" s="48"/>
      <c r="K12" s="214"/>
      <c r="L12" s="48"/>
      <c r="M12" s="48"/>
      <c r="N12" s="49"/>
    </row>
    <row r="13" spans="1:16" ht="20.25" thickBot="1">
      <c r="A13" s="169"/>
      <c r="B13" s="170" t="s">
        <v>479</v>
      </c>
      <c r="C13" s="170"/>
      <c r="D13" s="170"/>
      <c r="E13" s="170"/>
      <c r="F13" s="170"/>
      <c r="G13" s="170"/>
      <c r="H13" s="170"/>
      <c r="I13" s="170"/>
      <c r="J13" s="170"/>
      <c r="K13" s="296" t="s">
        <v>695</v>
      </c>
      <c r="L13" s="170"/>
      <c r="M13" s="424" t="s">
        <v>669</v>
      </c>
      <c r="N13" s="425"/>
    </row>
    <row r="14" spans="1:16">
      <c r="A14" s="30"/>
      <c r="B14" s="32" t="str">
        <f>_xlfn.IFNA(VLOOKUP(ROW()-13,DAWorkings!$C$106:$G$210,2,FALSE),"")</f>
        <v/>
      </c>
      <c r="C14" s="32"/>
      <c r="D14" s="32"/>
      <c r="E14" s="32"/>
      <c r="F14" s="32"/>
      <c r="G14" s="32"/>
      <c r="H14" s="32"/>
      <c r="I14" s="32"/>
      <c r="J14" s="32"/>
      <c r="K14" s="284" t="str">
        <f>_xlfn.IFNA(IF(VLOOKUP(ROW()-13,DAWorkings!$C$107:$G$211,4,FALSE)=0,"",VLOOKUP(ROW()-13,DAWorkings!$C$107:$G$211,4,FALSE)),"")</f>
        <v/>
      </c>
      <c r="L14" s="32"/>
      <c r="M14" s="217"/>
      <c r="N14" s="33"/>
    </row>
    <row r="15" spans="1:16">
      <c r="A15" s="34"/>
      <c r="B15" s="35" t="str">
        <f>_xlfn.IFNA(VLOOKUP(ROW()-13,DAWorkings!$C$106:$G$210,2,FALSE),"")</f>
        <v/>
      </c>
      <c r="C15" s="35"/>
      <c r="D15" s="35"/>
      <c r="E15" s="35"/>
      <c r="F15" s="35"/>
      <c r="G15" s="35"/>
      <c r="H15" s="35"/>
      <c r="I15" s="35"/>
      <c r="J15" s="35"/>
      <c r="K15" s="319" t="str">
        <f>_xlfn.IFNA(IF(VLOOKUP(ROW()-13,DAWorkings!$C$107:$G$211,4,FALSE)=0,"",VLOOKUP(ROW()-13,DAWorkings!$C$107:$G$211,4,FALSE)),"")</f>
        <v/>
      </c>
      <c r="L15" s="35"/>
      <c r="M15" s="320"/>
      <c r="N15" s="216"/>
    </row>
    <row r="16" spans="1:16">
      <c r="A16" s="34"/>
      <c r="B16" s="35" t="str">
        <f>_xlfn.IFNA(VLOOKUP(ROW()-13,DAWorkings!$C$106:$G$210,2,FALSE),"")</f>
        <v/>
      </c>
      <c r="C16" s="35"/>
      <c r="D16" s="35"/>
      <c r="E16" s="35"/>
      <c r="F16" s="35"/>
      <c r="G16" s="35"/>
      <c r="H16" s="35"/>
      <c r="I16" s="35"/>
      <c r="J16" s="35"/>
      <c r="K16" s="319" t="str">
        <f>_xlfn.IFNA(IF(VLOOKUP(ROW()-13,DAWorkings!$C$107:$G$211,4,FALSE)=0,"",VLOOKUP(ROW()-13,DAWorkings!$C$107:$G$211,4,FALSE)),"")</f>
        <v/>
      </c>
      <c r="L16" s="35"/>
      <c r="M16" s="320"/>
      <c r="N16" s="36"/>
    </row>
    <row r="17" spans="1:14">
      <c r="A17" s="34"/>
      <c r="B17" s="35" t="str">
        <f>_xlfn.IFNA(VLOOKUP(ROW()-13,DAWorkings!$C$106:$G$210,2,FALSE),"")</f>
        <v/>
      </c>
      <c r="C17" s="35"/>
      <c r="D17" s="35"/>
      <c r="E17" s="35"/>
      <c r="F17" s="35"/>
      <c r="G17" s="35"/>
      <c r="H17" s="35"/>
      <c r="I17" s="35"/>
      <c r="J17" s="35"/>
      <c r="K17" s="319" t="str">
        <f>_xlfn.IFNA(IF(VLOOKUP(ROW()-13,DAWorkings!$C$107:$G$211,4,FALSE)=0,"",VLOOKUP(ROW()-13,DAWorkings!$C$107:$G$211,4,FALSE)),"")</f>
        <v/>
      </c>
      <c r="L17" s="35"/>
      <c r="M17" s="320"/>
      <c r="N17" s="36"/>
    </row>
    <row r="18" spans="1:14">
      <c r="A18" s="34"/>
      <c r="B18" s="35" t="str">
        <f>_xlfn.IFNA(VLOOKUP(ROW()-13,DAWorkings!$C$106:$G$210,2,FALSE),"")</f>
        <v/>
      </c>
      <c r="C18" s="35"/>
      <c r="D18" s="35"/>
      <c r="E18" s="35"/>
      <c r="F18" s="35"/>
      <c r="G18" s="35"/>
      <c r="H18" s="35"/>
      <c r="I18" s="35"/>
      <c r="J18" s="35"/>
      <c r="K18" s="319" t="str">
        <f>_xlfn.IFNA(IF(VLOOKUP(ROW()-13,DAWorkings!$C$107:$G$211,4,FALSE)=0,"",VLOOKUP(ROW()-13,DAWorkings!$C$107:$G$211,4,FALSE)),"")</f>
        <v/>
      </c>
      <c r="L18" s="35"/>
      <c r="M18" s="320"/>
      <c r="N18" s="36"/>
    </row>
    <row r="19" spans="1:14">
      <c r="A19" s="34"/>
      <c r="B19" s="35" t="str">
        <f>_xlfn.IFNA(VLOOKUP(ROW()-13,DAWorkings!$C$106:$G$210,2,FALSE),"")</f>
        <v/>
      </c>
      <c r="C19" s="35"/>
      <c r="D19" s="35"/>
      <c r="E19" s="35"/>
      <c r="F19" s="35"/>
      <c r="G19" s="35"/>
      <c r="H19" s="35"/>
      <c r="I19" s="35"/>
      <c r="J19" s="35"/>
      <c r="K19" s="319" t="str">
        <f>_xlfn.IFNA(IF(VLOOKUP(ROW()-13,DAWorkings!$C$107:$G$211,4,FALSE)=0,"",VLOOKUP(ROW()-13,DAWorkings!$C$107:$G$211,4,FALSE)),"")</f>
        <v/>
      </c>
      <c r="L19" s="35"/>
      <c r="M19" s="320"/>
      <c r="N19" s="36"/>
    </row>
    <row r="20" spans="1:14">
      <c r="A20" s="34"/>
      <c r="B20" s="35" t="str">
        <f>_xlfn.IFNA(VLOOKUP(ROW()-13,DAWorkings!$C$106:$G$210,2,FALSE),"")</f>
        <v/>
      </c>
      <c r="C20" s="35"/>
      <c r="D20" s="35"/>
      <c r="E20" s="35"/>
      <c r="F20" s="35"/>
      <c r="G20" s="35"/>
      <c r="H20" s="35"/>
      <c r="I20" s="35"/>
      <c r="J20" s="35"/>
      <c r="K20" s="319" t="str">
        <f>_xlfn.IFNA(IF(VLOOKUP(ROW()-13,DAWorkings!$C$107:$G$211,4,FALSE)=0,"",VLOOKUP(ROW()-13,DAWorkings!$C$107:$G$211,4,FALSE)),"")</f>
        <v/>
      </c>
      <c r="L20" s="35"/>
      <c r="M20" s="320"/>
      <c r="N20" s="36"/>
    </row>
    <row r="21" spans="1:14">
      <c r="A21" s="34"/>
      <c r="B21" s="35" t="str">
        <f>_xlfn.IFNA(VLOOKUP(ROW()-13,DAWorkings!$C$106:$G$210,2,FALSE),"")</f>
        <v/>
      </c>
      <c r="C21" s="35"/>
      <c r="D21" s="35"/>
      <c r="E21" s="35"/>
      <c r="F21" s="35"/>
      <c r="G21" s="35"/>
      <c r="H21" s="35"/>
      <c r="I21" s="35"/>
      <c r="J21" s="35"/>
      <c r="K21" s="319" t="str">
        <f>_xlfn.IFNA(IF(VLOOKUP(ROW()-13,DAWorkings!$C$107:$G$211,4,FALSE)=0,"",VLOOKUP(ROW()-13,DAWorkings!$C$107:$G$211,4,FALSE)),"")</f>
        <v/>
      </c>
      <c r="L21" s="35"/>
      <c r="M21" s="320"/>
      <c r="N21" s="36"/>
    </row>
    <row r="22" spans="1:14">
      <c r="A22" s="34"/>
      <c r="B22" s="35" t="str">
        <f>_xlfn.IFNA(VLOOKUP(ROW()-13,DAWorkings!$C$106:$G$210,2,FALSE),"")</f>
        <v/>
      </c>
      <c r="C22" s="35"/>
      <c r="D22" s="35"/>
      <c r="E22" s="35"/>
      <c r="F22" s="35"/>
      <c r="G22" s="35"/>
      <c r="H22" s="35"/>
      <c r="I22" s="35"/>
      <c r="J22" s="35"/>
      <c r="K22" s="319" t="str">
        <f>_xlfn.IFNA(IF(VLOOKUP(ROW()-13,DAWorkings!$C$107:$G$211,4,FALSE)=0,"",VLOOKUP(ROW()-13,DAWorkings!$C$107:$G$211,4,FALSE)),"")</f>
        <v/>
      </c>
      <c r="L22" s="35"/>
      <c r="M22" s="320"/>
      <c r="N22" s="36"/>
    </row>
    <row r="23" spans="1:14">
      <c r="A23" s="34"/>
      <c r="B23" s="35" t="str">
        <f>_xlfn.IFNA(VLOOKUP(ROW()-13,DAWorkings!$C$106:$G$210,2,FALSE),"")</f>
        <v/>
      </c>
      <c r="C23" s="35"/>
      <c r="D23" s="35"/>
      <c r="E23" s="35"/>
      <c r="F23" s="35"/>
      <c r="G23" s="35"/>
      <c r="H23" s="35"/>
      <c r="I23" s="35"/>
      <c r="J23" s="35"/>
      <c r="K23" s="319" t="str">
        <f>_xlfn.IFNA(IF(VLOOKUP(ROW()-13,DAWorkings!$C$107:$G$211,4,FALSE)=0,"",VLOOKUP(ROW()-13,DAWorkings!$C$107:$G$211,4,FALSE)),"")</f>
        <v/>
      </c>
      <c r="L23" s="35"/>
      <c r="M23" s="320"/>
      <c r="N23" s="36"/>
    </row>
    <row r="24" spans="1:14">
      <c r="A24" s="34"/>
      <c r="B24" s="35" t="str">
        <f>_xlfn.IFNA(VLOOKUP(ROW()-13,DAWorkings!$C$106:$G$210,2,FALSE),"")</f>
        <v/>
      </c>
      <c r="C24" s="35"/>
      <c r="D24" s="35"/>
      <c r="E24" s="35"/>
      <c r="F24" s="35"/>
      <c r="G24" s="35"/>
      <c r="H24" s="35"/>
      <c r="I24" s="35"/>
      <c r="J24" s="35"/>
      <c r="K24" s="319" t="str">
        <f>_xlfn.IFNA(IF(VLOOKUP(ROW()-13,DAWorkings!$C$107:$G$211,4,FALSE)=0,"",VLOOKUP(ROW()-13,DAWorkings!$C$107:$G$211,4,FALSE)),"")</f>
        <v/>
      </c>
      <c r="L24" s="35"/>
      <c r="M24" s="320"/>
      <c r="N24" s="36"/>
    </row>
    <row r="25" spans="1:14">
      <c r="A25" s="34"/>
      <c r="B25" s="35" t="str">
        <f>_xlfn.IFNA(VLOOKUP(ROW()-13,DAWorkings!$C$106:$G$210,2,FALSE),"")</f>
        <v/>
      </c>
      <c r="C25" s="35"/>
      <c r="D25" s="35"/>
      <c r="E25" s="35"/>
      <c r="F25" s="35"/>
      <c r="G25" s="35"/>
      <c r="H25" s="35"/>
      <c r="I25" s="35"/>
      <c r="J25" s="35"/>
      <c r="K25" s="319" t="str">
        <f>_xlfn.IFNA(IF(VLOOKUP(ROW()-13,DAWorkings!$C$107:$G$211,4,FALSE)=0,"",VLOOKUP(ROW()-13,DAWorkings!$C$107:$G$211,4,FALSE)),"")</f>
        <v/>
      </c>
      <c r="L25" s="35"/>
      <c r="M25" s="320"/>
      <c r="N25" s="36"/>
    </row>
    <row r="26" spans="1:14">
      <c r="A26" s="34"/>
      <c r="B26" s="35" t="str">
        <f>_xlfn.IFNA(VLOOKUP(ROW()-13,DAWorkings!$C$106:$G$210,2,FALSE),"")</f>
        <v/>
      </c>
      <c r="C26" s="35"/>
      <c r="D26" s="35"/>
      <c r="E26" s="35"/>
      <c r="F26" s="35"/>
      <c r="G26" s="35"/>
      <c r="H26" s="35"/>
      <c r="I26" s="35"/>
      <c r="J26" s="35"/>
      <c r="K26" s="319" t="str">
        <f>_xlfn.IFNA(IF(VLOOKUP(ROW()-13,DAWorkings!$C$107:$G$211,4,FALSE)=0,"",VLOOKUP(ROW()-13,DAWorkings!$C$107:$G$211,4,FALSE)),"")</f>
        <v/>
      </c>
      <c r="L26" s="35"/>
      <c r="M26" s="320"/>
      <c r="N26" s="36"/>
    </row>
    <row r="27" spans="1:14">
      <c r="A27" s="34"/>
      <c r="B27" s="35" t="str">
        <f>_xlfn.IFNA(VLOOKUP(ROW()-13,DAWorkings!$C$106:$G$210,2,FALSE),"")</f>
        <v/>
      </c>
      <c r="C27" s="35"/>
      <c r="D27" s="35"/>
      <c r="E27" s="35"/>
      <c r="F27" s="35"/>
      <c r="G27" s="35"/>
      <c r="H27" s="35"/>
      <c r="I27" s="35"/>
      <c r="J27" s="35"/>
      <c r="K27" s="319" t="str">
        <f>_xlfn.IFNA(IF(VLOOKUP(ROW()-13,DAWorkings!$C$107:$G$211,4,FALSE)=0,"",VLOOKUP(ROW()-13,DAWorkings!$C$107:$G$211,4,FALSE)),"")</f>
        <v/>
      </c>
      <c r="L27" s="35"/>
      <c r="M27" s="320"/>
      <c r="N27" s="36"/>
    </row>
    <row r="28" spans="1:14">
      <c r="A28" s="34"/>
      <c r="B28" s="35" t="str">
        <f>_xlfn.IFNA(VLOOKUP(ROW()-13,DAWorkings!$C$106:$G$210,2,FALSE),"")</f>
        <v/>
      </c>
      <c r="C28" s="35"/>
      <c r="D28" s="35"/>
      <c r="E28" s="35"/>
      <c r="F28" s="35"/>
      <c r="G28" s="35"/>
      <c r="H28" s="35"/>
      <c r="I28" s="35"/>
      <c r="J28" s="35"/>
      <c r="K28" s="319" t="str">
        <f>_xlfn.IFNA(IF(VLOOKUP(ROW()-13,DAWorkings!$C$107:$G$211,4,FALSE)=0,"",VLOOKUP(ROW()-13,DAWorkings!$C$107:$G$211,4,FALSE)),"")</f>
        <v/>
      </c>
      <c r="L28" s="35"/>
      <c r="M28" s="320"/>
      <c r="N28" s="36"/>
    </row>
    <row r="29" spans="1:14">
      <c r="A29" s="34"/>
      <c r="B29" s="35" t="str">
        <f>_xlfn.IFNA(VLOOKUP(ROW()-13,DAWorkings!$C$106:$G$210,2,FALSE),"")</f>
        <v/>
      </c>
      <c r="C29" s="35"/>
      <c r="D29" s="35"/>
      <c r="E29" s="35"/>
      <c r="F29" s="35"/>
      <c r="G29" s="35"/>
      <c r="H29" s="35"/>
      <c r="I29" s="35"/>
      <c r="J29" s="35"/>
      <c r="K29" s="319" t="str">
        <f>_xlfn.IFNA(IF(VLOOKUP(ROW()-13,DAWorkings!$C$107:$G$211,4,FALSE)=0,"",VLOOKUP(ROW()-13,DAWorkings!$C$107:$G$211,4,FALSE)),"")</f>
        <v/>
      </c>
      <c r="L29" s="35"/>
      <c r="M29" s="320"/>
      <c r="N29" s="36"/>
    </row>
    <row r="30" spans="1:14">
      <c r="A30" s="34"/>
      <c r="B30" s="35" t="str">
        <f>_xlfn.IFNA(VLOOKUP(ROW()-13,DAWorkings!$C$106:$G$210,2,FALSE),"")</f>
        <v/>
      </c>
      <c r="C30" s="35"/>
      <c r="D30" s="35"/>
      <c r="E30" s="35"/>
      <c r="F30" s="35"/>
      <c r="G30" s="35"/>
      <c r="H30" s="35"/>
      <c r="I30" s="35"/>
      <c r="J30" s="35"/>
      <c r="K30" s="319" t="str">
        <f>_xlfn.IFNA(IF(VLOOKUP(ROW()-13,DAWorkings!$C$107:$G$211,4,FALSE)=0,"",VLOOKUP(ROW()-13,DAWorkings!$C$107:$G$211,4,FALSE)),"")</f>
        <v/>
      </c>
      <c r="L30" s="35"/>
      <c r="M30" s="320"/>
      <c r="N30" s="36"/>
    </row>
    <row r="31" spans="1:14">
      <c r="A31" s="34"/>
      <c r="B31" s="35" t="str">
        <f>_xlfn.IFNA(VLOOKUP(ROW()-13,DAWorkings!$C$106:$G$210,2,FALSE),"")</f>
        <v/>
      </c>
      <c r="C31" s="35"/>
      <c r="D31" s="35"/>
      <c r="E31" s="35"/>
      <c r="F31" s="35"/>
      <c r="G31" s="35"/>
      <c r="H31" s="35"/>
      <c r="I31" s="35"/>
      <c r="J31" s="35"/>
      <c r="K31" s="319" t="str">
        <f>_xlfn.IFNA(IF(VLOOKUP(ROW()-13,DAWorkings!$C$107:$G$211,4,FALSE)=0,"",VLOOKUP(ROW()-13,DAWorkings!$C$107:$G$211,4,FALSE)),"")</f>
        <v/>
      </c>
      <c r="L31" s="35"/>
      <c r="M31" s="320"/>
      <c r="N31" s="36"/>
    </row>
    <row r="32" spans="1:14">
      <c r="A32" s="34"/>
      <c r="B32" s="35" t="str">
        <f>_xlfn.IFNA(VLOOKUP(ROW()-13,DAWorkings!$C$106:$G$210,2,FALSE),"")</f>
        <v/>
      </c>
      <c r="C32" s="35"/>
      <c r="D32" s="35"/>
      <c r="E32" s="35"/>
      <c r="F32" s="35"/>
      <c r="G32" s="35"/>
      <c r="H32" s="35"/>
      <c r="I32" s="35"/>
      <c r="J32" s="35"/>
      <c r="K32" s="319" t="str">
        <f>_xlfn.IFNA(IF(VLOOKUP(ROW()-13,DAWorkings!$C$107:$G$211,4,FALSE)=0,"",VLOOKUP(ROW()-13,DAWorkings!$C$107:$G$211,4,FALSE)),"")</f>
        <v/>
      </c>
      <c r="L32" s="35"/>
      <c r="M32" s="320"/>
      <c r="N32" s="36"/>
    </row>
    <row r="33" spans="1:14">
      <c r="A33" s="34"/>
      <c r="B33" s="35" t="str">
        <f>_xlfn.IFNA(VLOOKUP(ROW()-13,DAWorkings!$C$106:$G$210,2,FALSE),"")</f>
        <v/>
      </c>
      <c r="C33" s="35"/>
      <c r="D33" s="35"/>
      <c r="E33" s="35"/>
      <c r="F33" s="35"/>
      <c r="G33" s="35"/>
      <c r="H33" s="35"/>
      <c r="I33" s="35"/>
      <c r="J33" s="35"/>
      <c r="K33" s="319" t="str">
        <f>_xlfn.IFNA(IF(VLOOKUP(ROW()-13,DAWorkings!$C$107:$G$211,4,FALSE)=0,"",VLOOKUP(ROW()-13,DAWorkings!$C$107:$G$211,4,FALSE)),"")</f>
        <v/>
      </c>
      <c r="L33" s="35"/>
      <c r="M33" s="320"/>
      <c r="N33" s="36"/>
    </row>
    <row r="34" spans="1:14">
      <c r="A34" s="34"/>
      <c r="B34" s="35" t="str">
        <f>_xlfn.IFNA(VLOOKUP(ROW()-13,DAWorkings!$C$106:$G$210,2,FALSE),"")</f>
        <v/>
      </c>
      <c r="C34" s="35"/>
      <c r="D34" s="35"/>
      <c r="E34" s="35"/>
      <c r="F34" s="35"/>
      <c r="G34" s="35"/>
      <c r="H34" s="35"/>
      <c r="I34" s="35"/>
      <c r="J34" s="35"/>
      <c r="K34" s="319" t="str">
        <f>_xlfn.IFNA(IF(VLOOKUP(ROW()-13,DAWorkings!$C$107:$G$211,4,FALSE)=0,"",VLOOKUP(ROW()-13,DAWorkings!$C$107:$G$211,4,FALSE)),"")</f>
        <v/>
      </c>
      <c r="L34" s="35"/>
      <c r="M34" s="320"/>
      <c r="N34" s="36"/>
    </row>
    <row r="35" spans="1:14">
      <c r="A35" s="34"/>
      <c r="B35" s="35" t="str">
        <f>_xlfn.IFNA(VLOOKUP(ROW()-13,DAWorkings!$C$106:$G$210,2,FALSE),"")</f>
        <v/>
      </c>
      <c r="C35" s="35"/>
      <c r="D35" s="35"/>
      <c r="E35" s="35"/>
      <c r="F35" s="35"/>
      <c r="G35" s="35"/>
      <c r="H35" s="35"/>
      <c r="I35" s="35"/>
      <c r="J35" s="35"/>
      <c r="K35" s="319" t="str">
        <f>_xlfn.IFNA(IF(VLOOKUP(ROW()-13,DAWorkings!$C$107:$G$211,4,FALSE)=0,"",VLOOKUP(ROW()-13,DAWorkings!$C$107:$G$211,4,FALSE)),"")</f>
        <v/>
      </c>
      <c r="L35" s="35"/>
      <c r="M35" s="320"/>
      <c r="N35" s="36"/>
    </row>
    <row r="36" spans="1:14">
      <c r="A36" s="34"/>
      <c r="B36" s="35" t="str">
        <f>_xlfn.IFNA(VLOOKUP(ROW()-13,DAWorkings!$C$106:$G$210,2,FALSE),"")</f>
        <v/>
      </c>
      <c r="C36" s="35"/>
      <c r="D36" s="35"/>
      <c r="E36" s="35"/>
      <c r="F36" s="35"/>
      <c r="G36" s="35"/>
      <c r="H36" s="35"/>
      <c r="I36" s="35"/>
      <c r="J36" s="35"/>
      <c r="K36" s="319" t="str">
        <f>_xlfn.IFNA(IF(VLOOKUP(ROW()-13,DAWorkings!$C$107:$G$211,4,FALSE)=0,"",VLOOKUP(ROW()-13,DAWorkings!$C$107:$G$211,4,FALSE)),"")</f>
        <v/>
      </c>
      <c r="L36" s="35"/>
      <c r="M36" s="320"/>
      <c r="N36" s="36"/>
    </row>
    <row r="37" spans="1:14">
      <c r="A37" s="34"/>
      <c r="B37" s="35" t="str">
        <f>_xlfn.IFNA(VLOOKUP(ROW()-13,DAWorkings!$C$106:$G$210,2,FALSE),"")</f>
        <v/>
      </c>
      <c r="C37" s="35"/>
      <c r="D37" s="35"/>
      <c r="E37" s="35"/>
      <c r="F37" s="35"/>
      <c r="G37" s="35"/>
      <c r="H37" s="35"/>
      <c r="I37" s="35"/>
      <c r="J37" s="35"/>
      <c r="K37" s="319" t="str">
        <f>_xlfn.IFNA(IF(VLOOKUP(ROW()-13,DAWorkings!$C$107:$G$211,4,FALSE)=0,"",VLOOKUP(ROW()-13,DAWorkings!$C$107:$G$211,4,FALSE)),"")</f>
        <v/>
      </c>
      <c r="L37" s="35"/>
      <c r="M37" s="320"/>
      <c r="N37" s="36"/>
    </row>
    <row r="38" spans="1:14">
      <c r="A38" s="34"/>
      <c r="B38" s="35" t="str">
        <f>_xlfn.IFNA(VLOOKUP(ROW()-13,DAWorkings!$C$106:$G$210,2,FALSE),"")</f>
        <v/>
      </c>
      <c r="C38" s="35"/>
      <c r="D38" s="35"/>
      <c r="E38" s="35"/>
      <c r="F38" s="35"/>
      <c r="G38" s="35"/>
      <c r="H38" s="35"/>
      <c r="I38" s="35"/>
      <c r="J38" s="35"/>
      <c r="K38" s="319" t="str">
        <f>_xlfn.IFNA(IF(VLOOKUP(ROW()-13,DAWorkings!$C$107:$G$211,4,FALSE)=0,"",VLOOKUP(ROW()-13,DAWorkings!$C$107:$G$211,4,FALSE)),"")</f>
        <v/>
      </c>
      <c r="L38" s="35"/>
      <c r="M38" s="320"/>
      <c r="N38" s="36"/>
    </row>
    <row r="39" spans="1:14">
      <c r="A39" s="34"/>
      <c r="B39" s="35" t="str">
        <f>_xlfn.IFNA(VLOOKUP(ROW()-13,DAWorkings!$C$106:$G$210,2,FALSE),"")</f>
        <v/>
      </c>
      <c r="C39" s="35"/>
      <c r="D39" s="35"/>
      <c r="E39" s="35"/>
      <c r="F39" s="35"/>
      <c r="G39" s="35"/>
      <c r="H39" s="35"/>
      <c r="I39" s="35"/>
      <c r="J39" s="35"/>
      <c r="K39" s="319" t="str">
        <f>_xlfn.IFNA(IF(VLOOKUP(ROW()-13,DAWorkings!$C$107:$G$211,4,FALSE)=0,"",VLOOKUP(ROW()-13,DAWorkings!$C$107:$G$211,4,FALSE)),"")</f>
        <v/>
      </c>
      <c r="L39" s="35"/>
      <c r="M39" s="320"/>
      <c r="N39" s="36"/>
    </row>
    <row r="40" spans="1:14">
      <c r="A40" s="34"/>
      <c r="B40" s="35" t="str">
        <f>_xlfn.IFNA(VLOOKUP(ROW()-13,DAWorkings!$C$106:$G$210,2,FALSE),"")</f>
        <v/>
      </c>
      <c r="C40" s="35"/>
      <c r="D40" s="35"/>
      <c r="E40" s="35"/>
      <c r="F40" s="35"/>
      <c r="G40" s="35"/>
      <c r="H40" s="35"/>
      <c r="I40" s="35"/>
      <c r="J40" s="35"/>
      <c r="K40" s="319" t="str">
        <f>_xlfn.IFNA(IF(VLOOKUP(ROW()-13,DAWorkings!$C$107:$G$211,4,FALSE)=0,"",VLOOKUP(ROW()-13,DAWorkings!$C$107:$G$211,4,FALSE)),"")</f>
        <v/>
      </c>
      <c r="L40" s="35"/>
      <c r="M40" s="320"/>
      <c r="N40" s="36"/>
    </row>
    <row r="41" spans="1:14">
      <c r="A41" s="34"/>
      <c r="B41" s="35" t="str">
        <f>_xlfn.IFNA(VLOOKUP(ROW()-13,DAWorkings!$C$106:$G$210,2,FALSE),"")</f>
        <v/>
      </c>
      <c r="C41" s="35"/>
      <c r="D41" s="35"/>
      <c r="E41" s="35"/>
      <c r="F41" s="35"/>
      <c r="G41" s="35"/>
      <c r="H41" s="35"/>
      <c r="I41" s="35"/>
      <c r="J41" s="35"/>
      <c r="K41" s="319" t="str">
        <f>_xlfn.IFNA(IF(VLOOKUP(ROW()-13,DAWorkings!$C$107:$G$211,4,FALSE)=0,"",VLOOKUP(ROW()-13,DAWorkings!$C$107:$G$211,4,FALSE)),"")</f>
        <v/>
      </c>
      <c r="L41" s="35"/>
      <c r="M41" s="320"/>
      <c r="N41" s="36"/>
    </row>
    <row r="42" spans="1:14">
      <c r="A42" s="34"/>
      <c r="B42" s="35" t="str">
        <f>_xlfn.IFNA(VLOOKUP(ROW()-13,DAWorkings!$C$106:$G$210,2,FALSE),"")</f>
        <v/>
      </c>
      <c r="C42" s="35"/>
      <c r="D42" s="35"/>
      <c r="E42" s="35"/>
      <c r="F42" s="35"/>
      <c r="G42" s="35"/>
      <c r="H42" s="35"/>
      <c r="I42" s="35"/>
      <c r="J42" s="35"/>
      <c r="K42" s="319" t="str">
        <f>_xlfn.IFNA(IF(VLOOKUP(ROW()-13,DAWorkings!$C$107:$G$211,4,FALSE)=0,"",VLOOKUP(ROW()-13,DAWorkings!$C$107:$G$211,4,FALSE)),"")</f>
        <v/>
      </c>
      <c r="L42" s="35"/>
      <c r="M42" s="320"/>
      <c r="N42" s="36"/>
    </row>
    <row r="43" spans="1:14">
      <c r="A43" s="34"/>
      <c r="B43" s="35" t="str">
        <f>_xlfn.IFNA(VLOOKUP(ROW()-13,DAWorkings!$C$106:$G$210,2,FALSE),"")</f>
        <v/>
      </c>
      <c r="C43" s="35"/>
      <c r="D43" s="35"/>
      <c r="E43" s="35"/>
      <c r="F43" s="35"/>
      <c r="G43" s="35"/>
      <c r="H43" s="35"/>
      <c r="I43" s="35"/>
      <c r="J43" s="35"/>
      <c r="K43" s="319" t="str">
        <f>_xlfn.IFNA(IF(VLOOKUP(ROW()-13,DAWorkings!$C$107:$G$211,4,FALSE)=0,"",VLOOKUP(ROW()-13,DAWorkings!$C$107:$G$211,4,FALSE)),"")</f>
        <v/>
      </c>
      <c r="L43" s="35"/>
      <c r="M43" s="320"/>
      <c r="N43" s="36"/>
    </row>
    <row r="44" spans="1:14">
      <c r="A44" s="34"/>
      <c r="B44" s="35" t="str">
        <f>_xlfn.IFNA(VLOOKUP(ROW()-13,DAWorkings!$C$106:$G$210,2,FALSE),"")</f>
        <v/>
      </c>
      <c r="C44" s="35"/>
      <c r="D44" s="35"/>
      <c r="E44" s="35"/>
      <c r="F44" s="35"/>
      <c r="G44" s="35"/>
      <c r="H44" s="35"/>
      <c r="I44" s="35"/>
      <c r="J44" s="35"/>
      <c r="K44" s="319" t="str">
        <f>_xlfn.IFNA(IF(VLOOKUP(ROW()-13,DAWorkings!$C$107:$G$211,4,FALSE)=0,"",VLOOKUP(ROW()-13,DAWorkings!$C$107:$G$211,4,FALSE)),"")</f>
        <v/>
      </c>
      <c r="L44" s="35"/>
      <c r="M44" s="320"/>
      <c r="N44" s="36"/>
    </row>
    <row r="45" spans="1:14">
      <c r="A45" s="34"/>
      <c r="B45" s="35" t="str">
        <f>_xlfn.IFNA(VLOOKUP(ROW()-13,DAWorkings!$C$106:$G$210,2,FALSE),"")</f>
        <v/>
      </c>
      <c r="C45" s="35"/>
      <c r="D45" s="35"/>
      <c r="E45" s="35"/>
      <c r="F45" s="35"/>
      <c r="G45" s="35"/>
      <c r="H45" s="35"/>
      <c r="I45" s="35"/>
      <c r="J45" s="35"/>
      <c r="K45" s="319" t="str">
        <f>_xlfn.IFNA(IF(VLOOKUP(ROW()-13,DAWorkings!$C$107:$G$211,4,FALSE)=0,"",VLOOKUP(ROW()-13,DAWorkings!$C$107:$G$211,4,FALSE)),"")</f>
        <v/>
      </c>
      <c r="L45" s="35"/>
      <c r="M45" s="320"/>
      <c r="N45" s="36"/>
    </row>
    <row r="46" spans="1:14">
      <c r="A46" s="34"/>
      <c r="B46" s="35" t="str">
        <f>_xlfn.IFNA(VLOOKUP(ROW()-13,DAWorkings!$C$106:$G$210,2,FALSE),"")</f>
        <v/>
      </c>
      <c r="C46" s="35"/>
      <c r="D46" s="35"/>
      <c r="E46" s="35"/>
      <c r="F46" s="35"/>
      <c r="G46" s="35"/>
      <c r="H46" s="35"/>
      <c r="I46" s="35"/>
      <c r="J46" s="35"/>
      <c r="K46" s="319" t="str">
        <f>_xlfn.IFNA(IF(VLOOKUP(ROW()-13,DAWorkings!$C$107:$G$211,4,FALSE)=0,"",VLOOKUP(ROW()-13,DAWorkings!$C$107:$G$211,4,FALSE)),"")</f>
        <v/>
      </c>
      <c r="L46" s="35"/>
      <c r="M46" s="320"/>
      <c r="N46" s="36"/>
    </row>
    <row r="47" spans="1:14">
      <c r="A47" s="34"/>
      <c r="B47" s="35" t="str">
        <f>_xlfn.IFNA(VLOOKUP(ROW()-13,DAWorkings!$C$106:$G$210,2,FALSE),"")</f>
        <v/>
      </c>
      <c r="C47" s="35"/>
      <c r="D47" s="35"/>
      <c r="E47" s="35"/>
      <c r="F47" s="35"/>
      <c r="G47" s="35"/>
      <c r="H47" s="35"/>
      <c r="I47" s="35"/>
      <c r="J47" s="35"/>
      <c r="K47" s="319" t="str">
        <f>_xlfn.IFNA(IF(VLOOKUP(ROW()-13,DAWorkings!$C$107:$G$211,4,FALSE)=0,"",VLOOKUP(ROW()-13,DAWorkings!$C$107:$G$211,4,FALSE)),"")</f>
        <v/>
      </c>
      <c r="L47" s="35"/>
      <c r="M47" s="320"/>
      <c r="N47" s="36"/>
    </row>
    <row r="48" spans="1:14">
      <c r="A48" s="34"/>
      <c r="B48" s="35" t="str">
        <f>_xlfn.IFNA(VLOOKUP(ROW()-13,DAWorkings!$C$106:$G$210,2,FALSE),"")</f>
        <v/>
      </c>
      <c r="C48" s="35"/>
      <c r="D48" s="35"/>
      <c r="E48" s="35"/>
      <c r="F48" s="35"/>
      <c r="G48" s="35"/>
      <c r="H48" s="35"/>
      <c r="I48" s="35"/>
      <c r="J48" s="35"/>
      <c r="K48" s="319" t="str">
        <f>_xlfn.IFNA(IF(VLOOKUP(ROW()-13,DAWorkings!$C$107:$G$211,4,FALSE)=0,"",VLOOKUP(ROW()-13,DAWorkings!$C$107:$G$211,4,FALSE)),"")</f>
        <v/>
      </c>
      <c r="L48" s="35"/>
      <c r="M48" s="320"/>
      <c r="N48" s="36"/>
    </row>
    <row r="49" spans="1:14">
      <c r="A49" s="34"/>
      <c r="B49" s="35" t="str">
        <f>_xlfn.IFNA(VLOOKUP(ROW()-13,DAWorkings!$C$106:$G$210,2,FALSE),"")</f>
        <v/>
      </c>
      <c r="C49" s="35"/>
      <c r="D49" s="35"/>
      <c r="E49" s="35"/>
      <c r="F49" s="35"/>
      <c r="G49" s="35"/>
      <c r="H49" s="35"/>
      <c r="I49" s="35"/>
      <c r="J49" s="35"/>
      <c r="K49" s="319" t="str">
        <f>_xlfn.IFNA(IF(VLOOKUP(ROW()-13,DAWorkings!$C$107:$G$211,4,FALSE)=0,"",VLOOKUP(ROW()-13,DAWorkings!$C$107:$G$211,4,FALSE)),"")</f>
        <v/>
      </c>
      <c r="L49" s="35"/>
      <c r="M49" s="320"/>
      <c r="N49" s="36"/>
    </row>
    <row r="50" spans="1:14">
      <c r="A50" s="34"/>
      <c r="B50" s="35" t="str">
        <f>_xlfn.IFNA(VLOOKUP(ROW()-13,DAWorkings!$C$106:$G$210,2,FALSE),"")</f>
        <v/>
      </c>
      <c r="C50" s="35"/>
      <c r="D50" s="35"/>
      <c r="E50" s="35"/>
      <c r="F50" s="35"/>
      <c r="G50" s="35"/>
      <c r="H50" s="35"/>
      <c r="I50" s="35"/>
      <c r="J50" s="35"/>
      <c r="K50" s="319" t="str">
        <f>_xlfn.IFNA(IF(VLOOKUP(ROW()-13,DAWorkings!$C$107:$G$211,4,FALSE)=0,"",VLOOKUP(ROW()-13,DAWorkings!$C$107:$G$211,4,FALSE)),"")</f>
        <v/>
      </c>
      <c r="L50" s="35"/>
      <c r="M50" s="320"/>
      <c r="N50" s="36"/>
    </row>
    <row r="51" spans="1:14">
      <c r="A51" s="34"/>
      <c r="B51" s="35" t="str">
        <f>_xlfn.IFNA(VLOOKUP(ROW()-13,DAWorkings!$C$106:$G$210,2,FALSE),"")</f>
        <v/>
      </c>
      <c r="C51" s="35"/>
      <c r="D51" s="35"/>
      <c r="E51" s="35"/>
      <c r="F51" s="35"/>
      <c r="G51" s="35"/>
      <c r="H51" s="35"/>
      <c r="I51" s="35"/>
      <c r="J51" s="35"/>
      <c r="K51" s="319" t="str">
        <f>_xlfn.IFNA(IF(VLOOKUP(ROW()-13,DAWorkings!$C$107:$G$211,4,FALSE)=0,"",VLOOKUP(ROW()-13,DAWorkings!$C$107:$G$211,4,FALSE)),"")</f>
        <v/>
      </c>
      <c r="L51" s="35"/>
      <c r="M51" s="320"/>
      <c r="N51" s="36"/>
    </row>
    <row r="52" spans="1:14">
      <c r="A52" s="34"/>
      <c r="B52" s="35" t="str">
        <f>_xlfn.IFNA(VLOOKUP(ROW()-13,DAWorkings!$C$106:$G$210,2,FALSE),"")</f>
        <v/>
      </c>
      <c r="C52" s="35"/>
      <c r="D52" s="35"/>
      <c r="E52" s="35"/>
      <c r="F52" s="35"/>
      <c r="G52" s="35"/>
      <c r="H52" s="35"/>
      <c r="I52" s="35"/>
      <c r="J52" s="35"/>
      <c r="K52" s="319" t="str">
        <f>_xlfn.IFNA(IF(VLOOKUP(ROW()-13,DAWorkings!$C$107:$G$211,4,FALSE)=0,"",VLOOKUP(ROW()-13,DAWorkings!$C$107:$G$211,4,FALSE)),"")</f>
        <v/>
      </c>
      <c r="L52" s="35"/>
      <c r="M52" s="320"/>
      <c r="N52" s="36"/>
    </row>
    <row r="53" spans="1:14">
      <c r="A53" s="34"/>
      <c r="B53" s="35" t="str">
        <f>_xlfn.IFNA(VLOOKUP(ROW()-13,DAWorkings!$C$106:$G$210,2,FALSE),"")</f>
        <v/>
      </c>
      <c r="C53" s="35"/>
      <c r="D53" s="35"/>
      <c r="E53" s="35"/>
      <c r="F53" s="35"/>
      <c r="G53" s="35"/>
      <c r="H53" s="35"/>
      <c r="I53" s="35"/>
      <c r="J53" s="35"/>
      <c r="K53" s="319" t="str">
        <f>_xlfn.IFNA(IF(VLOOKUP(ROW()-13,DAWorkings!$C$107:$G$211,4,FALSE)=0,"",VLOOKUP(ROW()-13,DAWorkings!$C$107:$G$211,4,FALSE)),"")</f>
        <v/>
      </c>
      <c r="L53" s="35"/>
      <c r="M53" s="320"/>
      <c r="N53" s="36"/>
    </row>
    <row r="54" spans="1:14">
      <c r="A54" s="34"/>
      <c r="B54" s="35" t="str">
        <f>_xlfn.IFNA(VLOOKUP(ROW()-13,DAWorkings!$C$106:$G$210,2,FALSE),"")</f>
        <v/>
      </c>
      <c r="C54" s="35"/>
      <c r="D54" s="35"/>
      <c r="E54" s="35"/>
      <c r="F54" s="35"/>
      <c r="G54" s="35"/>
      <c r="H54" s="35"/>
      <c r="I54" s="35"/>
      <c r="J54" s="35"/>
      <c r="K54" s="319" t="str">
        <f>_xlfn.IFNA(IF(VLOOKUP(ROW()-13,DAWorkings!$C$107:$G$211,4,FALSE)=0,"",VLOOKUP(ROW()-13,DAWorkings!$C$107:$G$211,4,FALSE)),"")</f>
        <v/>
      </c>
      <c r="L54" s="35"/>
      <c r="M54" s="320"/>
      <c r="N54" s="36"/>
    </row>
    <row r="55" spans="1:14">
      <c r="A55" s="34"/>
      <c r="B55" s="35" t="str">
        <f>_xlfn.IFNA(VLOOKUP(ROW()-13,DAWorkings!$C$106:$G$210,2,FALSE),"")</f>
        <v/>
      </c>
      <c r="C55" s="35"/>
      <c r="D55" s="35"/>
      <c r="E55" s="35"/>
      <c r="F55" s="35"/>
      <c r="G55" s="35"/>
      <c r="H55" s="35"/>
      <c r="I55" s="35"/>
      <c r="J55" s="35"/>
      <c r="K55" s="319" t="str">
        <f>_xlfn.IFNA(IF(VLOOKUP(ROW()-13,DAWorkings!$C$107:$G$211,4,FALSE)=0,"",VLOOKUP(ROW()-13,DAWorkings!$C$107:$G$211,4,FALSE)),"")</f>
        <v/>
      </c>
      <c r="L55" s="35"/>
      <c r="M55" s="320"/>
      <c r="N55" s="36"/>
    </row>
    <row r="56" spans="1:14">
      <c r="A56" s="34"/>
      <c r="B56" s="35" t="str">
        <f>_xlfn.IFNA(VLOOKUP(ROW()-13,DAWorkings!$C$106:$G$210,2,FALSE),"")</f>
        <v/>
      </c>
      <c r="C56" s="35"/>
      <c r="D56" s="35"/>
      <c r="E56" s="35"/>
      <c r="F56" s="35"/>
      <c r="G56" s="35"/>
      <c r="H56" s="35"/>
      <c r="I56" s="35"/>
      <c r="J56" s="35"/>
      <c r="K56" s="319" t="str">
        <f>_xlfn.IFNA(IF(VLOOKUP(ROW()-13,DAWorkings!$C$107:$G$211,4,FALSE)=0,"",VLOOKUP(ROW()-13,DAWorkings!$C$107:$G$211,4,FALSE)),"")</f>
        <v/>
      </c>
      <c r="L56" s="35"/>
      <c r="M56" s="320"/>
      <c r="N56" s="36"/>
    </row>
    <row r="57" spans="1:14">
      <c r="A57" s="34"/>
      <c r="B57" s="35" t="str">
        <f>_xlfn.IFNA(VLOOKUP(ROW()-13,DAWorkings!$C$106:$G$210,2,FALSE),"")</f>
        <v/>
      </c>
      <c r="C57" s="35"/>
      <c r="D57" s="35"/>
      <c r="E57" s="35"/>
      <c r="F57" s="35"/>
      <c r="G57" s="35"/>
      <c r="H57" s="35"/>
      <c r="I57" s="35"/>
      <c r="J57" s="35"/>
      <c r="K57" s="319" t="str">
        <f>_xlfn.IFNA(IF(VLOOKUP(ROW()-13,DAWorkings!$C$107:$G$211,4,FALSE)=0,"",VLOOKUP(ROW()-13,DAWorkings!$C$107:$G$211,4,FALSE)),"")</f>
        <v/>
      </c>
      <c r="L57" s="35"/>
      <c r="M57" s="320"/>
      <c r="N57" s="36"/>
    </row>
    <row r="58" spans="1:14">
      <c r="A58" s="34"/>
      <c r="B58" s="35" t="str">
        <f>_xlfn.IFNA(VLOOKUP(ROW()-13,DAWorkings!$C$106:$G$210,2,FALSE),"")</f>
        <v/>
      </c>
      <c r="C58" s="35"/>
      <c r="D58" s="35"/>
      <c r="E58" s="35"/>
      <c r="F58" s="35"/>
      <c r="G58" s="35"/>
      <c r="H58" s="35"/>
      <c r="I58" s="35"/>
      <c r="J58" s="35"/>
      <c r="K58" s="319" t="str">
        <f>_xlfn.IFNA(IF(VLOOKUP(ROW()-13,DAWorkings!$C$107:$G$211,4,FALSE)=0,"",VLOOKUP(ROW()-13,DAWorkings!$C$107:$G$211,4,FALSE)),"")</f>
        <v/>
      </c>
      <c r="L58" s="35"/>
      <c r="M58" s="320"/>
      <c r="N58" s="36"/>
    </row>
    <row r="59" spans="1:14">
      <c r="A59" s="34"/>
      <c r="B59" s="35" t="str">
        <f>_xlfn.IFNA(VLOOKUP(ROW()-13,DAWorkings!$C$106:$G$210,2,FALSE),"")</f>
        <v/>
      </c>
      <c r="C59" s="35"/>
      <c r="D59" s="35"/>
      <c r="E59" s="35"/>
      <c r="F59" s="35"/>
      <c r="G59" s="35"/>
      <c r="H59" s="35"/>
      <c r="I59" s="35"/>
      <c r="J59" s="35"/>
      <c r="K59" s="319" t="str">
        <f>_xlfn.IFNA(IF(VLOOKUP(ROW()-13,DAWorkings!$C$107:$G$211,4,FALSE)=0,"",VLOOKUP(ROW()-13,DAWorkings!$C$107:$G$211,4,FALSE)),"")</f>
        <v/>
      </c>
      <c r="L59" s="35"/>
      <c r="M59" s="320"/>
      <c r="N59" s="36"/>
    </row>
    <row r="60" spans="1:14">
      <c r="A60" s="34"/>
      <c r="B60" s="35" t="str">
        <f>_xlfn.IFNA(VLOOKUP(ROW()-13,DAWorkings!$C$106:$G$210,2,FALSE),"")</f>
        <v/>
      </c>
      <c r="C60" s="35"/>
      <c r="D60" s="35"/>
      <c r="E60" s="35"/>
      <c r="F60" s="35"/>
      <c r="G60" s="35"/>
      <c r="H60" s="35"/>
      <c r="I60" s="35"/>
      <c r="J60" s="35"/>
      <c r="K60" s="319" t="str">
        <f>_xlfn.IFNA(IF(VLOOKUP(ROW()-13,DAWorkings!$C$107:$G$211,4,FALSE)=0,"",VLOOKUP(ROW()-13,DAWorkings!$C$107:$G$211,4,FALSE)),"")</f>
        <v/>
      </c>
      <c r="L60" s="35"/>
      <c r="M60" s="320"/>
      <c r="N60" s="36"/>
    </row>
    <row r="61" spans="1:14">
      <c r="A61" s="34"/>
      <c r="B61" s="35" t="str">
        <f>_xlfn.IFNA(VLOOKUP(ROW()-13,DAWorkings!$C$106:$G$210,2,FALSE),"")</f>
        <v/>
      </c>
      <c r="C61" s="35"/>
      <c r="D61" s="35"/>
      <c r="E61" s="35"/>
      <c r="F61" s="35"/>
      <c r="G61" s="35"/>
      <c r="H61" s="35"/>
      <c r="I61" s="35"/>
      <c r="J61" s="35"/>
      <c r="K61" s="319" t="str">
        <f>_xlfn.IFNA(IF(VLOOKUP(ROW()-13,DAWorkings!$C$107:$G$211,4,FALSE)=0,"",VLOOKUP(ROW()-13,DAWorkings!$C$107:$G$211,4,FALSE)),"")</f>
        <v/>
      </c>
      <c r="L61" s="35"/>
      <c r="M61" s="320"/>
      <c r="N61" s="36"/>
    </row>
    <row r="62" spans="1:14">
      <c r="A62" s="34"/>
      <c r="B62" s="35" t="str">
        <f>_xlfn.IFNA(VLOOKUP(ROW()-13,DAWorkings!$C$106:$G$210,2,FALSE),"")</f>
        <v/>
      </c>
      <c r="C62" s="35"/>
      <c r="D62" s="35"/>
      <c r="E62" s="35"/>
      <c r="F62" s="35"/>
      <c r="G62" s="35"/>
      <c r="H62" s="35"/>
      <c r="I62" s="35"/>
      <c r="J62" s="35"/>
      <c r="K62" s="319" t="str">
        <f>_xlfn.IFNA(IF(VLOOKUP(ROW()-13,DAWorkings!$C$107:$G$211,4,FALSE)=0,"",VLOOKUP(ROW()-13,DAWorkings!$C$107:$G$211,4,FALSE)),"")</f>
        <v/>
      </c>
      <c r="L62" s="35"/>
      <c r="M62" s="320"/>
      <c r="N62" s="36"/>
    </row>
    <row r="63" spans="1:14">
      <c r="A63" s="34"/>
      <c r="B63" s="35" t="str">
        <f>_xlfn.IFNA(VLOOKUP(ROW()-13,DAWorkings!$C$106:$G$210,2,FALSE),"")</f>
        <v/>
      </c>
      <c r="C63" s="35"/>
      <c r="D63" s="35"/>
      <c r="E63" s="35"/>
      <c r="F63" s="35"/>
      <c r="G63" s="35"/>
      <c r="H63" s="35"/>
      <c r="I63" s="35"/>
      <c r="J63" s="35"/>
      <c r="K63" s="319" t="str">
        <f>_xlfn.IFNA(IF(VLOOKUP(ROW()-13,DAWorkings!$C$107:$G$211,4,FALSE)=0,"",VLOOKUP(ROW()-13,DAWorkings!$C$107:$G$211,4,FALSE)),"")</f>
        <v/>
      </c>
      <c r="L63" s="35"/>
      <c r="M63" s="320"/>
      <c r="N63" s="36"/>
    </row>
    <row r="64" spans="1:14">
      <c r="A64" s="34"/>
      <c r="B64" s="35" t="str">
        <f>_xlfn.IFNA(VLOOKUP(ROW()-13,DAWorkings!$C$106:$G$210,2,FALSE),"")</f>
        <v/>
      </c>
      <c r="C64" s="35"/>
      <c r="D64" s="35"/>
      <c r="E64" s="35"/>
      <c r="F64" s="35"/>
      <c r="G64" s="35"/>
      <c r="H64" s="35"/>
      <c r="I64" s="35"/>
      <c r="J64" s="35"/>
      <c r="K64" s="319" t="str">
        <f>_xlfn.IFNA(IF(VLOOKUP(ROW()-13,DAWorkings!$C$107:$G$211,4,FALSE)=0,"",VLOOKUP(ROW()-13,DAWorkings!$C$107:$G$211,4,FALSE)),"")</f>
        <v/>
      </c>
      <c r="L64" s="35"/>
      <c r="M64" s="320"/>
      <c r="N64" s="36"/>
    </row>
    <row r="65" spans="1:14">
      <c r="A65" s="34"/>
      <c r="B65" s="35" t="str">
        <f>_xlfn.IFNA(VLOOKUP(ROW()-13,DAWorkings!$C$106:$G$210,2,FALSE),"")</f>
        <v/>
      </c>
      <c r="C65" s="35"/>
      <c r="D65" s="35"/>
      <c r="E65" s="35"/>
      <c r="F65" s="35"/>
      <c r="G65" s="35"/>
      <c r="H65" s="35"/>
      <c r="I65" s="35"/>
      <c r="J65" s="35"/>
      <c r="K65" s="319" t="str">
        <f>_xlfn.IFNA(IF(VLOOKUP(ROW()-13,DAWorkings!$C$107:$G$211,4,FALSE)=0,"",VLOOKUP(ROW()-13,DAWorkings!$C$107:$G$211,4,FALSE)),"")</f>
        <v/>
      </c>
      <c r="L65" s="35"/>
      <c r="M65" s="320"/>
      <c r="N65" s="36"/>
    </row>
    <row r="66" spans="1:14">
      <c r="A66" s="34"/>
      <c r="B66" s="35" t="str">
        <f>_xlfn.IFNA(VLOOKUP(ROW()-13,DAWorkings!$C$106:$G$210,2,FALSE),"")</f>
        <v/>
      </c>
      <c r="C66" s="35"/>
      <c r="D66" s="35"/>
      <c r="E66" s="35"/>
      <c r="F66" s="35"/>
      <c r="G66" s="35"/>
      <c r="H66" s="35"/>
      <c r="I66" s="35"/>
      <c r="J66" s="35"/>
      <c r="K66" s="319" t="str">
        <f>_xlfn.IFNA(IF(VLOOKUP(ROW()-13,DAWorkings!$C$107:$G$211,4,FALSE)=0,"",VLOOKUP(ROW()-13,DAWorkings!$C$107:$G$211,4,FALSE)),"")</f>
        <v/>
      </c>
      <c r="L66" s="35"/>
      <c r="M66" s="320"/>
      <c r="N66" s="36"/>
    </row>
    <row r="67" spans="1:14">
      <c r="A67" s="34"/>
      <c r="B67" s="35" t="str">
        <f>_xlfn.IFNA(VLOOKUP(ROW()-13,DAWorkings!$C$106:$G$210,2,FALSE),"")</f>
        <v/>
      </c>
      <c r="C67" s="35"/>
      <c r="D67" s="35"/>
      <c r="E67" s="35"/>
      <c r="F67" s="35"/>
      <c r="G67" s="35"/>
      <c r="H67" s="35"/>
      <c r="I67" s="35"/>
      <c r="J67" s="35"/>
      <c r="K67" s="319" t="str">
        <f>_xlfn.IFNA(IF(VLOOKUP(ROW()-13,DAWorkings!$C$107:$G$211,4,FALSE)=0,"",VLOOKUP(ROW()-13,DAWorkings!$C$107:$G$211,4,FALSE)),"")</f>
        <v/>
      </c>
      <c r="L67" s="35"/>
      <c r="M67" s="320"/>
      <c r="N67" s="36"/>
    </row>
    <row r="68" spans="1:14">
      <c r="A68" s="34"/>
      <c r="B68" s="35" t="str">
        <f>_xlfn.IFNA(VLOOKUP(ROW()-13,DAWorkings!$C$106:$G$210,2,FALSE),"")</f>
        <v/>
      </c>
      <c r="C68" s="35"/>
      <c r="D68" s="35"/>
      <c r="E68" s="35"/>
      <c r="F68" s="35"/>
      <c r="G68" s="35"/>
      <c r="H68" s="35"/>
      <c r="I68" s="35"/>
      <c r="J68" s="35"/>
      <c r="K68" s="319" t="str">
        <f>_xlfn.IFNA(IF(VLOOKUP(ROW()-13,DAWorkings!$C$107:$G$211,4,FALSE)=0,"",VLOOKUP(ROW()-13,DAWorkings!$C$107:$G$211,4,FALSE)),"")</f>
        <v/>
      </c>
      <c r="L68" s="35"/>
      <c r="M68" s="320"/>
      <c r="N68" s="36"/>
    </row>
    <row r="69" spans="1:14">
      <c r="A69" s="34"/>
      <c r="B69" s="35" t="str">
        <f>_xlfn.IFNA(VLOOKUP(ROW()-13,DAWorkings!$C$106:$G$210,2,FALSE),"")</f>
        <v/>
      </c>
      <c r="C69" s="35"/>
      <c r="D69" s="35"/>
      <c r="E69" s="35"/>
      <c r="F69" s="35"/>
      <c r="G69" s="35"/>
      <c r="H69" s="35"/>
      <c r="I69" s="35"/>
      <c r="J69" s="35"/>
      <c r="K69" s="319" t="str">
        <f>_xlfn.IFNA(IF(VLOOKUP(ROW()-13,DAWorkings!$C$107:$G$211,4,FALSE)=0,"",VLOOKUP(ROW()-13,DAWorkings!$C$107:$G$211,4,FALSE)),"")</f>
        <v/>
      </c>
      <c r="L69" s="35"/>
      <c r="M69" s="320"/>
      <c r="N69" s="36"/>
    </row>
    <row r="70" spans="1:14">
      <c r="A70" s="34"/>
      <c r="B70" s="35" t="str">
        <f>_xlfn.IFNA(VLOOKUP(ROW()-13,DAWorkings!$C$106:$G$210,2,FALSE),"")</f>
        <v/>
      </c>
      <c r="C70" s="35"/>
      <c r="D70" s="35"/>
      <c r="E70" s="35"/>
      <c r="F70" s="35"/>
      <c r="G70" s="35"/>
      <c r="H70" s="35"/>
      <c r="I70" s="35"/>
      <c r="J70" s="35"/>
      <c r="K70" s="319" t="str">
        <f>_xlfn.IFNA(IF(VLOOKUP(ROW()-13,DAWorkings!$C$107:$G$211,4,FALSE)=0,"",VLOOKUP(ROW()-13,DAWorkings!$C$107:$G$211,4,FALSE)),"")</f>
        <v/>
      </c>
      <c r="L70" s="35"/>
      <c r="M70" s="320"/>
      <c r="N70" s="36"/>
    </row>
    <row r="71" spans="1:14">
      <c r="A71" s="34"/>
      <c r="B71" s="35" t="str">
        <f>_xlfn.IFNA(VLOOKUP(ROW()-13,DAWorkings!$C$106:$G$210,2,FALSE),"")</f>
        <v/>
      </c>
      <c r="C71" s="35"/>
      <c r="D71" s="35"/>
      <c r="E71" s="35"/>
      <c r="F71" s="35"/>
      <c r="G71" s="35"/>
      <c r="H71" s="35"/>
      <c r="I71" s="35"/>
      <c r="J71" s="35"/>
      <c r="K71" s="319" t="str">
        <f>_xlfn.IFNA(IF(VLOOKUP(ROW()-13,DAWorkings!$C$107:$G$211,4,FALSE)=0,"",VLOOKUP(ROW()-13,DAWorkings!$C$107:$G$211,4,FALSE)),"")</f>
        <v/>
      </c>
      <c r="L71" s="35"/>
      <c r="M71" s="320"/>
      <c r="N71" s="36"/>
    </row>
    <row r="72" spans="1:14">
      <c r="A72" s="34"/>
      <c r="B72" s="35" t="str">
        <f>_xlfn.IFNA(VLOOKUP(ROW()-13,DAWorkings!$C$106:$G$210,2,FALSE),"")</f>
        <v/>
      </c>
      <c r="C72" s="35"/>
      <c r="D72" s="35"/>
      <c r="E72" s="35"/>
      <c r="F72" s="35"/>
      <c r="G72" s="35"/>
      <c r="H72" s="35"/>
      <c r="I72" s="35"/>
      <c r="J72" s="35"/>
      <c r="K72" s="319" t="str">
        <f>_xlfn.IFNA(IF(VLOOKUP(ROW()-13,DAWorkings!$C$107:$G$211,4,FALSE)=0,"",VLOOKUP(ROW()-13,DAWorkings!$C$107:$G$211,4,FALSE)),"")</f>
        <v/>
      </c>
      <c r="L72" s="35"/>
      <c r="M72" s="320"/>
      <c r="N72" s="36"/>
    </row>
    <row r="73" spans="1:14">
      <c r="A73" s="34"/>
      <c r="B73" s="35" t="str">
        <f>_xlfn.IFNA(VLOOKUP(ROW()-13,DAWorkings!$C$106:$G$210,2,FALSE),"")</f>
        <v/>
      </c>
      <c r="C73" s="35"/>
      <c r="D73" s="35"/>
      <c r="E73" s="35"/>
      <c r="F73" s="35"/>
      <c r="G73" s="35"/>
      <c r="H73" s="35"/>
      <c r="I73" s="35"/>
      <c r="J73" s="35"/>
      <c r="K73" s="319" t="str">
        <f>_xlfn.IFNA(IF(VLOOKUP(ROW()-13,DAWorkings!$C$107:$G$211,4,FALSE)=0,"",VLOOKUP(ROW()-13,DAWorkings!$C$107:$G$211,4,FALSE)),"")</f>
        <v/>
      </c>
      <c r="L73" s="35"/>
      <c r="M73" s="320"/>
      <c r="N73" s="36"/>
    </row>
    <row r="74" spans="1:14">
      <c r="A74" s="34"/>
      <c r="B74" s="35" t="str">
        <f>_xlfn.IFNA(VLOOKUP(ROW()-13,DAWorkings!$C$106:$G$210,2,FALSE),"")</f>
        <v/>
      </c>
      <c r="C74" s="35"/>
      <c r="D74" s="35"/>
      <c r="E74" s="35"/>
      <c r="F74" s="35"/>
      <c r="G74" s="35"/>
      <c r="H74" s="35"/>
      <c r="I74" s="35"/>
      <c r="J74" s="35"/>
      <c r="K74" s="319" t="str">
        <f>_xlfn.IFNA(IF(VLOOKUP(ROW()-13,DAWorkings!$C$107:$G$211,4,FALSE)=0,"",VLOOKUP(ROW()-13,DAWorkings!$C$107:$G$211,4,FALSE)),"")</f>
        <v/>
      </c>
      <c r="L74" s="35"/>
      <c r="M74" s="320"/>
      <c r="N74" s="36"/>
    </row>
    <row r="75" spans="1:14">
      <c r="A75" s="34"/>
      <c r="B75" s="35" t="str">
        <f>_xlfn.IFNA(VLOOKUP(ROW()-13,DAWorkings!$C$106:$G$210,2,FALSE),"")</f>
        <v/>
      </c>
      <c r="C75" s="35"/>
      <c r="D75" s="35"/>
      <c r="E75" s="35"/>
      <c r="F75" s="35"/>
      <c r="G75" s="35"/>
      <c r="H75" s="35"/>
      <c r="I75" s="35"/>
      <c r="J75" s="35"/>
      <c r="K75" s="319" t="str">
        <f>_xlfn.IFNA(IF(VLOOKUP(ROW()-13,DAWorkings!$C$107:$G$211,4,FALSE)=0,"",VLOOKUP(ROW()-13,DAWorkings!$C$107:$G$211,4,FALSE)),"")</f>
        <v/>
      </c>
      <c r="L75" s="35"/>
      <c r="M75" s="320"/>
      <c r="N75" s="36"/>
    </row>
    <row r="76" spans="1:14">
      <c r="A76" s="34"/>
      <c r="B76" s="35" t="str">
        <f>_xlfn.IFNA(VLOOKUP(ROW()-13,DAWorkings!$C$106:$G$210,2,FALSE),"")</f>
        <v/>
      </c>
      <c r="C76" s="35"/>
      <c r="D76" s="35"/>
      <c r="E76" s="35"/>
      <c r="F76" s="35"/>
      <c r="G76" s="35"/>
      <c r="H76" s="35"/>
      <c r="I76" s="35"/>
      <c r="J76" s="35"/>
      <c r="K76" s="319" t="str">
        <f>_xlfn.IFNA(IF(VLOOKUP(ROW()-13,DAWorkings!$C$107:$G$211,4,FALSE)=0,"",VLOOKUP(ROW()-13,DAWorkings!$C$107:$G$211,4,FALSE)),"")</f>
        <v/>
      </c>
      <c r="L76" s="35"/>
      <c r="M76" s="320"/>
      <c r="N76" s="36"/>
    </row>
    <row r="77" spans="1:14">
      <c r="A77" s="34"/>
      <c r="B77" s="35" t="str">
        <f>_xlfn.IFNA(VLOOKUP(ROW()-13,DAWorkings!$C$106:$G$210,2,FALSE),"")</f>
        <v/>
      </c>
      <c r="C77" s="35"/>
      <c r="D77" s="35"/>
      <c r="E77" s="35"/>
      <c r="F77" s="35"/>
      <c r="G77" s="35"/>
      <c r="H77" s="35"/>
      <c r="I77" s="35"/>
      <c r="J77" s="35"/>
      <c r="K77" s="319" t="str">
        <f>_xlfn.IFNA(IF(VLOOKUP(ROW()-13,DAWorkings!$C$107:$G$211,4,FALSE)=0,"",VLOOKUP(ROW()-13,DAWorkings!$C$107:$G$211,4,FALSE)),"")</f>
        <v/>
      </c>
      <c r="L77" s="35"/>
      <c r="M77" s="320"/>
      <c r="N77" s="36"/>
    </row>
    <row r="78" spans="1:14">
      <c r="A78" s="34"/>
      <c r="B78" s="35" t="str">
        <f>_xlfn.IFNA(VLOOKUP(ROW()-13,DAWorkings!$C$106:$G$210,2,FALSE),"")</f>
        <v/>
      </c>
      <c r="C78" s="35"/>
      <c r="D78" s="35"/>
      <c r="E78" s="35"/>
      <c r="F78" s="35"/>
      <c r="G78" s="35"/>
      <c r="H78" s="35"/>
      <c r="I78" s="35"/>
      <c r="J78" s="35"/>
      <c r="K78" s="319" t="str">
        <f>_xlfn.IFNA(IF(VLOOKUP(ROW()-13,DAWorkings!$C$107:$G$211,4,FALSE)=0,"",VLOOKUP(ROW()-13,DAWorkings!$C$107:$G$211,4,FALSE)),"")</f>
        <v/>
      </c>
      <c r="L78" s="35"/>
      <c r="M78" s="320"/>
      <c r="N78" s="36"/>
    </row>
    <row r="79" spans="1:14">
      <c r="A79" s="34"/>
      <c r="B79" s="35" t="str">
        <f>_xlfn.IFNA(VLOOKUP(ROW()-13,DAWorkings!$C$106:$G$210,2,FALSE),"")</f>
        <v/>
      </c>
      <c r="C79" s="35"/>
      <c r="D79" s="35"/>
      <c r="E79" s="35"/>
      <c r="F79" s="35"/>
      <c r="G79" s="35"/>
      <c r="H79" s="35"/>
      <c r="I79" s="35"/>
      <c r="J79" s="35"/>
      <c r="K79" s="319" t="str">
        <f>_xlfn.IFNA(IF(VLOOKUP(ROW()-13,DAWorkings!$C$107:$G$211,4,FALSE)=0,"",VLOOKUP(ROW()-13,DAWorkings!$C$107:$G$211,4,FALSE)),"")</f>
        <v/>
      </c>
      <c r="L79" s="35"/>
      <c r="M79" s="320"/>
      <c r="N79" s="36"/>
    </row>
    <row r="80" spans="1:14">
      <c r="A80" s="34"/>
      <c r="B80" s="35" t="str">
        <f>_xlfn.IFNA(VLOOKUP(ROW()-13,DAWorkings!$C$106:$G$210,2,FALSE),"")</f>
        <v/>
      </c>
      <c r="C80" s="35"/>
      <c r="D80" s="35"/>
      <c r="E80" s="35"/>
      <c r="F80" s="35"/>
      <c r="G80" s="35"/>
      <c r="H80" s="35"/>
      <c r="I80" s="35"/>
      <c r="J80" s="35"/>
      <c r="K80" s="319" t="str">
        <f>_xlfn.IFNA(IF(VLOOKUP(ROW()-13,DAWorkings!$C$107:$G$211,4,FALSE)=0,"",VLOOKUP(ROW()-13,DAWorkings!$C$107:$G$211,4,FALSE)),"")</f>
        <v/>
      </c>
      <c r="L80" s="35"/>
      <c r="M80" s="320"/>
      <c r="N80" s="36"/>
    </row>
    <row r="81" spans="1:14">
      <c r="A81" s="34"/>
      <c r="B81" s="35" t="str">
        <f>_xlfn.IFNA(VLOOKUP(ROW()-13,DAWorkings!$C$106:$G$210,2,FALSE),"")</f>
        <v/>
      </c>
      <c r="C81" s="35"/>
      <c r="D81" s="35"/>
      <c r="E81" s="35"/>
      <c r="F81" s="35"/>
      <c r="G81" s="35"/>
      <c r="H81" s="35"/>
      <c r="I81" s="35"/>
      <c r="J81" s="35"/>
      <c r="K81" s="319" t="str">
        <f>_xlfn.IFNA(IF(VLOOKUP(ROW()-13,DAWorkings!$C$107:$G$211,4,FALSE)=0,"",VLOOKUP(ROW()-13,DAWorkings!$C$107:$G$211,4,FALSE)),"")</f>
        <v/>
      </c>
      <c r="L81" s="35"/>
      <c r="M81" s="320"/>
      <c r="N81" s="36"/>
    </row>
    <row r="82" spans="1:14">
      <c r="A82" s="34"/>
      <c r="B82" s="35" t="str">
        <f>_xlfn.IFNA(VLOOKUP(ROW()-13,DAWorkings!$C$106:$G$210,2,FALSE),"")</f>
        <v/>
      </c>
      <c r="C82" s="35"/>
      <c r="D82" s="35"/>
      <c r="E82" s="35"/>
      <c r="F82" s="35"/>
      <c r="G82" s="35"/>
      <c r="H82" s="35"/>
      <c r="I82" s="35"/>
      <c r="J82" s="35"/>
      <c r="K82" s="319" t="str">
        <f>_xlfn.IFNA(IF(VLOOKUP(ROW()-13,DAWorkings!$C$107:$G$211,4,FALSE)=0,"",VLOOKUP(ROW()-13,DAWorkings!$C$107:$G$211,4,FALSE)),"")</f>
        <v/>
      </c>
      <c r="L82" s="35"/>
      <c r="M82" s="320"/>
      <c r="N82" s="36"/>
    </row>
    <row r="83" spans="1:14">
      <c r="A83" s="34"/>
      <c r="B83" s="35" t="str">
        <f>_xlfn.IFNA(VLOOKUP(ROW()-13,DAWorkings!$C$106:$G$210,2,FALSE),"")</f>
        <v/>
      </c>
      <c r="C83" s="35"/>
      <c r="D83" s="35"/>
      <c r="E83" s="35"/>
      <c r="F83" s="35"/>
      <c r="G83" s="35"/>
      <c r="H83" s="35"/>
      <c r="I83" s="35"/>
      <c r="J83" s="35"/>
      <c r="K83" s="319" t="str">
        <f>_xlfn.IFNA(IF(VLOOKUP(ROW()-13,DAWorkings!$C$107:$G$211,4,FALSE)=0,"",VLOOKUP(ROW()-13,DAWorkings!$C$107:$G$211,4,FALSE)),"")</f>
        <v/>
      </c>
      <c r="L83" s="35"/>
      <c r="M83" s="320"/>
      <c r="N83" s="36"/>
    </row>
    <row r="84" spans="1:14">
      <c r="A84" s="34"/>
      <c r="B84" s="35" t="str">
        <f>_xlfn.IFNA(VLOOKUP(ROW()-13,DAWorkings!$C$106:$G$210,2,FALSE),"")</f>
        <v/>
      </c>
      <c r="C84" s="35"/>
      <c r="D84" s="35"/>
      <c r="E84" s="35"/>
      <c r="F84" s="35"/>
      <c r="G84" s="35"/>
      <c r="H84" s="35"/>
      <c r="I84" s="35"/>
      <c r="J84" s="35"/>
      <c r="K84" s="319" t="str">
        <f>_xlfn.IFNA(IF(VLOOKUP(ROW()-13,DAWorkings!$C$107:$G$211,4,FALSE)=0,"",VLOOKUP(ROW()-13,DAWorkings!$C$107:$G$211,4,FALSE)),"")</f>
        <v/>
      </c>
      <c r="L84" s="35"/>
      <c r="M84" s="320"/>
      <c r="N84" s="36"/>
    </row>
    <row r="85" spans="1:14">
      <c r="A85" s="34"/>
      <c r="B85" s="35" t="str">
        <f>_xlfn.IFNA(VLOOKUP(ROW()-13,DAWorkings!$C$106:$G$210,2,FALSE),"")</f>
        <v/>
      </c>
      <c r="C85" s="35"/>
      <c r="D85" s="35"/>
      <c r="E85" s="35"/>
      <c r="F85" s="35"/>
      <c r="G85" s="35"/>
      <c r="H85" s="35"/>
      <c r="I85" s="35"/>
      <c r="J85" s="35"/>
      <c r="K85" s="319" t="str">
        <f>_xlfn.IFNA(IF(VLOOKUP(ROW()-13,DAWorkings!$C$107:$G$211,4,FALSE)=0,"",VLOOKUP(ROW()-13,DAWorkings!$C$107:$G$211,4,FALSE)),"")</f>
        <v/>
      </c>
      <c r="L85" s="35"/>
      <c r="M85" s="320"/>
      <c r="N85" s="36"/>
    </row>
    <row r="86" spans="1:14">
      <c r="A86" s="34"/>
      <c r="B86" s="35" t="str">
        <f>_xlfn.IFNA(VLOOKUP(ROW()-13,DAWorkings!$C$106:$G$210,2,FALSE),"")</f>
        <v/>
      </c>
      <c r="C86" s="35"/>
      <c r="D86" s="35"/>
      <c r="E86" s="35"/>
      <c r="F86" s="35"/>
      <c r="G86" s="35"/>
      <c r="H86" s="35"/>
      <c r="I86" s="35"/>
      <c r="J86" s="35"/>
      <c r="K86" s="319" t="str">
        <f>_xlfn.IFNA(IF(VLOOKUP(ROW()-13,DAWorkings!$C$107:$G$211,4,FALSE)=0,"",VLOOKUP(ROW()-13,DAWorkings!$C$107:$G$211,4,FALSE)),"")</f>
        <v/>
      </c>
      <c r="L86" s="35"/>
      <c r="M86" s="320"/>
      <c r="N86" s="36"/>
    </row>
    <row r="87" spans="1:14">
      <c r="A87" s="34"/>
      <c r="B87" s="35" t="str">
        <f>_xlfn.IFNA(VLOOKUP(ROW()-13,DAWorkings!$C$106:$G$210,2,FALSE),"")</f>
        <v/>
      </c>
      <c r="C87" s="35"/>
      <c r="D87" s="35"/>
      <c r="E87" s="35"/>
      <c r="F87" s="35"/>
      <c r="G87" s="35"/>
      <c r="H87" s="35"/>
      <c r="I87" s="35"/>
      <c r="J87" s="35"/>
      <c r="K87" s="319" t="str">
        <f>_xlfn.IFNA(IF(VLOOKUP(ROW()-13,DAWorkings!$C$107:$G$211,4,FALSE)=0,"",VLOOKUP(ROW()-13,DAWorkings!$C$107:$G$211,4,FALSE)),"")</f>
        <v/>
      </c>
      <c r="L87" s="35"/>
      <c r="M87" s="320"/>
      <c r="N87" s="36"/>
    </row>
    <row r="88" spans="1:14">
      <c r="A88" s="34"/>
      <c r="B88" s="35" t="str">
        <f>_xlfn.IFNA(VLOOKUP(ROW()-13,DAWorkings!$C$106:$G$210,2,FALSE),"")</f>
        <v/>
      </c>
      <c r="C88" s="35"/>
      <c r="D88" s="35"/>
      <c r="E88" s="35"/>
      <c r="F88" s="35"/>
      <c r="G88" s="35"/>
      <c r="H88" s="35"/>
      <c r="I88" s="35"/>
      <c r="J88" s="35"/>
      <c r="K88" s="319" t="str">
        <f>_xlfn.IFNA(IF(VLOOKUP(ROW()-13,DAWorkings!$C$107:$G$211,4,FALSE)=0,"",VLOOKUP(ROW()-13,DAWorkings!$C$107:$G$211,4,FALSE)),"")</f>
        <v/>
      </c>
      <c r="L88" s="35"/>
      <c r="M88" s="320"/>
      <c r="N88" s="36"/>
    </row>
    <row r="89" spans="1:14">
      <c r="A89" s="34"/>
      <c r="B89" s="35" t="str">
        <f>_xlfn.IFNA(VLOOKUP(ROW()-13,DAWorkings!$C$106:$G$210,2,FALSE),"")</f>
        <v/>
      </c>
      <c r="C89" s="35"/>
      <c r="D89" s="35"/>
      <c r="E89" s="35"/>
      <c r="F89" s="35"/>
      <c r="G89" s="35"/>
      <c r="H89" s="35"/>
      <c r="I89" s="35"/>
      <c r="J89" s="35"/>
      <c r="K89" s="319" t="str">
        <f>_xlfn.IFNA(IF(VLOOKUP(ROW()-13,DAWorkings!$C$107:$G$211,4,FALSE)=0,"",VLOOKUP(ROW()-13,DAWorkings!$C$107:$G$211,4,FALSE)),"")</f>
        <v/>
      </c>
      <c r="L89" s="35"/>
      <c r="M89" s="320"/>
      <c r="N89" s="36"/>
    </row>
    <row r="90" spans="1:14">
      <c r="A90" s="34"/>
      <c r="B90" s="35" t="str">
        <f>_xlfn.IFNA(VLOOKUP(ROW()-13,DAWorkings!$C$106:$G$210,2,FALSE),"")</f>
        <v/>
      </c>
      <c r="C90" s="35"/>
      <c r="D90" s="35"/>
      <c r="E90" s="35"/>
      <c r="F90" s="35"/>
      <c r="G90" s="35"/>
      <c r="H90" s="35"/>
      <c r="I90" s="35"/>
      <c r="J90" s="35"/>
      <c r="K90" s="319" t="str">
        <f>_xlfn.IFNA(IF(VLOOKUP(ROW()-13,DAWorkings!$C$107:$G$211,4,FALSE)=0,"",VLOOKUP(ROW()-13,DAWorkings!$C$107:$G$211,4,FALSE)),"")</f>
        <v/>
      </c>
      <c r="L90" s="35"/>
      <c r="M90" s="320"/>
      <c r="N90" s="36"/>
    </row>
    <row r="91" spans="1:14">
      <c r="A91" s="34"/>
      <c r="B91" s="35" t="str">
        <f>_xlfn.IFNA(VLOOKUP(ROW()-13,DAWorkings!$C$106:$G$210,2,FALSE),"")</f>
        <v/>
      </c>
      <c r="C91" s="35"/>
      <c r="D91" s="35"/>
      <c r="E91" s="35"/>
      <c r="F91" s="35"/>
      <c r="G91" s="35"/>
      <c r="H91" s="35"/>
      <c r="I91" s="35"/>
      <c r="J91" s="35"/>
      <c r="K91" s="319" t="str">
        <f>_xlfn.IFNA(IF(VLOOKUP(ROW()-13,DAWorkings!$C$107:$G$211,4,FALSE)=0,"",VLOOKUP(ROW()-13,DAWorkings!$C$107:$G$211,4,FALSE)),"")</f>
        <v/>
      </c>
      <c r="L91" s="35"/>
      <c r="M91" s="320"/>
      <c r="N91" s="36"/>
    </row>
    <row r="92" spans="1:14">
      <c r="A92" s="34"/>
      <c r="B92" s="35" t="str">
        <f>_xlfn.IFNA(VLOOKUP(ROW()-13,DAWorkings!$C$106:$G$210,2,FALSE),"")</f>
        <v/>
      </c>
      <c r="C92" s="35"/>
      <c r="D92" s="35"/>
      <c r="E92" s="35"/>
      <c r="F92" s="35"/>
      <c r="G92" s="35"/>
      <c r="H92" s="35"/>
      <c r="I92" s="35"/>
      <c r="J92" s="35"/>
      <c r="K92" s="319" t="str">
        <f>_xlfn.IFNA(IF(VLOOKUP(ROW()-13,DAWorkings!$C$107:$G$211,4,FALSE)=0,"",VLOOKUP(ROW()-13,DAWorkings!$C$107:$G$211,4,FALSE)),"")</f>
        <v/>
      </c>
      <c r="L92" s="35"/>
      <c r="M92" s="320"/>
      <c r="N92" s="36"/>
    </row>
    <row r="93" spans="1:14">
      <c r="A93" s="34"/>
      <c r="B93" s="35" t="str">
        <f>_xlfn.IFNA(VLOOKUP(ROW()-13,DAWorkings!$C$106:$G$210,2,FALSE),"")</f>
        <v/>
      </c>
      <c r="C93" s="35"/>
      <c r="D93" s="35"/>
      <c r="E93" s="35"/>
      <c r="F93" s="35"/>
      <c r="G93" s="35"/>
      <c r="H93" s="35"/>
      <c r="I93" s="35"/>
      <c r="J93" s="35"/>
      <c r="K93" s="319" t="str">
        <f>_xlfn.IFNA(IF(VLOOKUP(ROW()-13,DAWorkings!$C$107:$G$211,4,FALSE)=0,"",VLOOKUP(ROW()-13,DAWorkings!$C$107:$G$211,4,FALSE)),"")</f>
        <v/>
      </c>
      <c r="L93" s="35"/>
      <c r="M93" s="320"/>
      <c r="N93" s="36"/>
    </row>
    <row r="94" spans="1:14">
      <c r="A94" s="34"/>
      <c r="B94" s="35" t="str">
        <f>_xlfn.IFNA(VLOOKUP(ROW()-13,DAWorkings!$C$106:$G$210,2,FALSE),"")</f>
        <v/>
      </c>
      <c r="C94" s="35"/>
      <c r="D94" s="35"/>
      <c r="E94" s="35"/>
      <c r="F94" s="35"/>
      <c r="G94" s="35"/>
      <c r="H94" s="35"/>
      <c r="I94" s="35"/>
      <c r="J94" s="35"/>
      <c r="K94" s="319" t="str">
        <f>_xlfn.IFNA(IF(VLOOKUP(ROW()-13,DAWorkings!$C$107:$G$211,4,FALSE)=0,"",VLOOKUP(ROW()-13,DAWorkings!$C$107:$G$211,4,FALSE)),"")</f>
        <v/>
      </c>
      <c r="L94" s="35"/>
      <c r="M94" s="320"/>
      <c r="N94" s="36"/>
    </row>
    <row r="95" spans="1:14">
      <c r="A95" s="34"/>
      <c r="B95" s="35" t="str">
        <f>_xlfn.IFNA(VLOOKUP(ROW()-13,DAWorkings!$C$106:$G$210,2,FALSE),"")</f>
        <v/>
      </c>
      <c r="C95" s="35"/>
      <c r="D95" s="35"/>
      <c r="E95" s="35"/>
      <c r="F95" s="35"/>
      <c r="G95" s="35"/>
      <c r="H95" s="35"/>
      <c r="I95" s="35"/>
      <c r="J95" s="35"/>
      <c r="K95" s="319" t="str">
        <f>_xlfn.IFNA(IF(VLOOKUP(ROW()-13,DAWorkings!$C$107:$G$211,4,FALSE)=0,"",VLOOKUP(ROW()-13,DAWorkings!$C$107:$G$211,4,FALSE)),"")</f>
        <v/>
      </c>
      <c r="L95" s="35"/>
      <c r="M95" s="320"/>
      <c r="N95" s="36"/>
    </row>
    <row r="96" spans="1:14">
      <c r="A96" s="34"/>
      <c r="B96" s="35" t="str">
        <f>_xlfn.IFNA(VLOOKUP(ROW()-13,DAWorkings!$C$106:$G$210,2,FALSE),"")</f>
        <v/>
      </c>
      <c r="C96" s="35"/>
      <c r="D96" s="35"/>
      <c r="E96" s="35"/>
      <c r="F96" s="35"/>
      <c r="G96" s="35"/>
      <c r="H96" s="35"/>
      <c r="I96" s="35"/>
      <c r="J96" s="35"/>
      <c r="K96" s="319" t="str">
        <f>_xlfn.IFNA(IF(VLOOKUP(ROW()-13,DAWorkings!$C$107:$G$211,4,FALSE)=0,"",VLOOKUP(ROW()-13,DAWorkings!$C$107:$G$211,4,FALSE)),"")</f>
        <v/>
      </c>
      <c r="L96" s="35"/>
      <c r="M96" s="320"/>
      <c r="N96" s="36"/>
    </row>
    <row r="97" spans="1:14">
      <c r="A97" s="34"/>
      <c r="B97" s="35" t="str">
        <f>_xlfn.IFNA(VLOOKUP(ROW()-13,DAWorkings!$C$106:$G$210,2,FALSE),"")</f>
        <v/>
      </c>
      <c r="C97" s="35"/>
      <c r="D97" s="35"/>
      <c r="E97" s="35"/>
      <c r="F97" s="35"/>
      <c r="G97" s="35"/>
      <c r="H97" s="35"/>
      <c r="I97" s="35"/>
      <c r="J97" s="35"/>
      <c r="K97" s="319" t="str">
        <f>_xlfn.IFNA(IF(VLOOKUP(ROW()-13,DAWorkings!$C$107:$G$211,4,FALSE)=0,"",VLOOKUP(ROW()-13,DAWorkings!$C$107:$G$211,4,FALSE)),"")</f>
        <v/>
      </c>
      <c r="L97" s="35"/>
      <c r="M97" s="320"/>
      <c r="N97" s="36"/>
    </row>
    <row r="98" spans="1:14">
      <c r="A98" s="34"/>
      <c r="B98" s="35" t="str">
        <f>_xlfn.IFNA(VLOOKUP(ROW()-13,DAWorkings!$C$106:$G$210,2,FALSE),"")</f>
        <v/>
      </c>
      <c r="C98" s="35"/>
      <c r="D98" s="35"/>
      <c r="E98" s="35"/>
      <c r="F98" s="35"/>
      <c r="G98" s="35"/>
      <c r="H98" s="35"/>
      <c r="I98" s="35"/>
      <c r="J98" s="35"/>
      <c r="K98" s="319" t="str">
        <f>_xlfn.IFNA(IF(VLOOKUP(ROW()-13,DAWorkings!$C$107:$G$211,4,FALSE)=0,"",VLOOKUP(ROW()-13,DAWorkings!$C$107:$G$211,4,FALSE)),"")</f>
        <v/>
      </c>
      <c r="L98" s="35"/>
      <c r="M98" s="320"/>
      <c r="N98" s="36"/>
    </row>
    <row r="99" spans="1:14">
      <c r="A99" s="34"/>
      <c r="B99" s="35" t="str">
        <f>_xlfn.IFNA(VLOOKUP(ROW()-13,DAWorkings!$C$106:$G$210,2,FALSE),"")</f>
        <v/>
      </c>
      <c r="C99" s="35"/>
      <c r="D99" s="35"/>
      <c r="E99" s="35"/>
      <c r="F99" s="35"/>
      <c r="G99" s="35"/>
      <c r="H99" s="35"/>
      <c r="I99" s="35"/>
      <c r="J99" s="35"/>
      <c r="K99" s="319" t="str">
        <f>_xlfn.IFNA(IF(VLOOKUP(ROW()-13,DAWorkings!$C$107:$G$211,4,FALSE)=0,"",VLOOKUP(ROW()-13,DAWorkings!$C$107:$G$211,4,FALSE)),"")</f>
        <v/>
      </c>
      <c r="L99" s="35"/>
      <c r="M99" s="320"/>
      <c r="N99" s="36"/>
    </row>
    <row r="100" spans="1:14">
      <c r="A100" s="34"/>
      <c r="B100" s="35" t="str">
        <f>_xlfn.IFNA(VLOOKUP(ROW()-13,DAWorkings!$C$106:$G$210,2,FALSE),"")</f>
        <v/>
      </c>
      <c r="C100" s="35"/>
      <c r="D100" s="35"/>
      <c r="E100" s="35"/>
      <c r="F100" s="35"/>
      <c r="G100" s="35"/>
      <c r="H100" s="35"/>
      <c r="I100" s="35"/>
      <c r="J100" s="35"/>
      <c r="K100" s="319" t="str">
        <f>_xlfn.IFNA(IF(VLOOKUP(ROW()-13,DAWorkings!$C$107:$G$211,4,FALSE)=0,"",VLOOKUP(ROW()-13,DAWorkings!$C$107:$G$211,4,FALSE)),"")</f>
        <v/>
      </c>
      <c r="L100" s="35"/>
      <c r="M100" s="320"/>
      <c r="N100" s="36"/>
    </row>
    <row r="101" spans="1:14">
      <c r="A101" s="34"/>
      <c r="B101" s="35" t="str">
        <f>_xlfn.IFNA(VLOOKUP(ROW()-13,DAWorkings!$C$106:$G$210,2,FALSE),"")</f>
        <v/>
      </c>
      <c r="C101" s="35"/>
      <c r="D101" s="35"/>
      <c r="E101" s="35"/>
      <c r="F101" s="35"/>
      <c r="G101" s="35"/>
      <c r="H101" s="35"/>
      <c r="I101" s="35"/>
      <c r="J101" s="35"/>
      <c r="K101" s="319" t="str">
        <f>_xlfn.IFNA(IF(VLOOKUP(ROW()-13,DAWorkings!$C$107:$G$211,4,FALSE)=0,"",VLOOKUP(ROW()-13,DAWorkings!$C$107:$G$211,4,FALSE)),"")</f>
        <v/>
      </c>
      <c r="L101" s="35"/>
      <c r="M101" s="320"/>
      <c r="N101" s="36"/>
    </row>
    <row r="102" spans="1:14">
      <c r="A102" s="34"/>
      <c r="B102" s="35" t="str">
        <f>_xlfn.IFNA(VLOOKUP(ROW()-13,DAWorkings!$C$106:$G$210,2,FALSE),"")</f>
        <v/>
      </c>
      <c r="C102" s="35"/>
      <c r="D102" s="35"/>
      <c r="E102" s="35"/>
      <c r="F102" s="35"/>
      <c r="G102" s="35"/>
      <c r="H102" s="35"/>
      <c r="I102" s="35"/>
      <c r="J102" s="35"/>
      <c r="K102" s="319" t="str">
        <f>_xlfn.IFNA(IF(VLOOKUP(ROW()-13,DAWorkings!$C$107:$G$211,4,FALSE)=0,"",VLOOKUP(ROW()-13,DAWorkings!$C$107:$G$211,4,FALSE)),"")</f>
        <v/>
      </c>
      <c r="L102" s="35"/>
      <c r="M102" s="320"/>
      <c r="N102" s="36"/>
    </row>
    <row r="103" spans="1:14">
      <c r="A103" s="34"/>
      <c r="B103" s="35" t="str">
        <f>_xlfn.IFNA(VLOOKUP(ROW()-13,DAWorkings!$C$106:$G$210,2,FALSE),"")</f>
        <v/>
      </c>
      <c r="C103" s="35"/>
      <c r="D103" s="35"/>
      <c r="E103" s="35"/>
      <c r="F103" s="35"/>
      <c r="G103" s="35"/>
      <c r="H103" s="35"/>
      <c r="I103" s="35"/>
      <c r="J103" s="35"/>
      <c r="K103" s="319" t="str">
        <f>_xlfn.IFNA(IF(VLOOKUP(ROW()-13,DAWorkings!$C$107:$G$211,4,FALSE)=0,"",VLOOKUP(ROW()-13,DAWorkings!$C$107:$G$211,4,FALSE)),"")</f>
        <v/>
      </c>
      <c r="L103" s="35"/>
      <c r="M103" s="320"/>
      <c r="N103" s="36"/>
    </row>
    <row r="104" spans="1:14">
      <c r="A104" s="34"/>
      <c r="B104" s="35" t="str">
        <f>_xlfn.IFNA(VLOOKUP(ROW()-13,DAWorkings!$C$106:$G$210,2,FALSE),"")</f>
        <v/>
      </c>
      <c r="C104" s="35"/>
      <c r="D104" s="35"/>
      <c r="E104" s="35"/>
      <c r="F104" s="35"/>
      <c r="G104" s="35"/>
      <c r="H104" s="35"/>
      <c r="I104" s="35"/>
      <c r="J104" s="35"/>
      <c r="K104" s="319" t="str">
        <f>_xlfn.IFNA(IF(VLOOKUP(ROW()-13,DAWorkings!$C$107:$G$211,4,FALSE)=0,"",VLOOKUP(ROW()-13,DAWorkings!$C$107:$G$211,4,FALSE)),"")</f>
        <v/>
      </c>
      <c r="L104" s="35"/>
      <c r="M104" s="320"/>
      <c r="N104" s="36"/>
    </row>
    <row r="105" spans="1:14">
      <c r="A105" s="34"/>
      <c r="B105" s="35" t="str">
        <f>_xlfn.IFNA(VLOOKUP(ROW()-13,DAWorkings!$C$106:$G$210,2,FALSE),"")</f>
        <v/>
      </c>
      <c r="C105" s="35"/>
      <c r="D105" s="35"/>
      <c r="E105" s="35"/>
      <c r="F105" s="35"/>
      <c r="G105" s="35"/>
      <c r="H105" s="35"/>
      <c r="I105" s="35"/>
      <c r="J105" s="35"/>
      <c r="K105" s="319" t="str">
        <f>_xlfn.IFNA(IF(VLOOKUP(ROW()-13,DAWorkings!$C$107:$G$211,4,FALSE)=0,"",VLOOKUP(ROW()-13,DAWorkings!$C$107:$G$211,4,FALSE)),"")</f>
        <v/>
      </c>
      <c r="L105" s="35"/>
      <c r="M105" s="320"/>
      <c r="N105" s="36"/>
    </row>
    <row r="106" spans="1:14">
      <c r="A106" s="34"/>
      <c r="B106" s="35" t="str">
        <f>_xlfn.IFNA(VLOOKUP(ROW()-13,DAWorkings!$C$106:$G$210,2,FALSE),"")</f>
        <v/>
      </c>
      <c r="C106" s="35"/>
      <c r="D106" s="35"/>
      <c r="E106" s="35"/>
      <c r="F106" s="35"/>
      <c r="G106" s="35"/>
      <c r="H106" s="35"/>
      <c r="I106" s="35"/>
      <c r="J106" s="35"/>
      <c r="K106" s="319" t="str">
        <f>_xlfn.IFNA(IF(VLOOKUP(ROW()-13,DAWorkings!$C$107:$G$211,4,FALSE)=0,"",VLOOKUP(ROW()-13,DAWorkings!$C$107:$G$211,4,FALSE)),"")</f>
        <v/>
      </c>
      <c r="L106" s="35"/>
      <c r="M106" s="320"/>
      <c r="N106" s="36"/>
    </row>
    <row r="107" spans="1:14">
      <c r="A107" s="34"/>
      <c r="B107" s="35" t="str">
        <f>_xlfn.IFNA(VLOOKUP(ROW()-13,DAWorkings!$C$106:$G$210,2,FALSE),"")</f>
        <v/>
      </c>
      <c r="C107" s="35"/>
      <c r="D107" s="35"/>
      <c r="E107" s="35"/>
      <c r="F107" s="35"/>
      <c r="G107" s="35"/>
      <c r="H107" s="35"/>
      <c r="I107" s="35"/>
      <c r="J107" s="35"/>
      <c r="K107" s="319" t="str">
        <f>_xlfn.IFNA(IF(VLOOKUP(ROW()-13,DAWorkings!$C$107:$G$211,4,FALSE)=0,"",VLOOKUP(ROW()-13,DAWorkings!$C$107:$G$211,4,FALSE)),"")</f>
        <v/>
      </c>
      <c r="L107" s="35"/>
      <c r="M107" s="320"/>
      <c r="N107" s="36"/>
    </row>
    <row r="108" spans="1:14">
      <c r="A108" s="34"/>
      <c r="B108" s="35" t="str">
        <f>_xlfn.IFNA(VLOOKUP(ROW()-13,DAWorkings!$C$106:$G$210,2,FALSE),"")</f>
        <v/>
      </c>
      <c r="C108" s="35"/>
      <c r="D108" s="35"/>
      <c r="E108" s="35"/>
      <c r="F108" s="35"/>
      <c r="G108" s="35"/>
      <c r="H108" s="35"/>
      <c r="I108" s="35"/>
      <c r="J108" s="35"/>
      <c r="K108" s="319" t="str">
        <f>_xlfn.IFNA(IF(VLOOKUP(ROW()-13,DAWorkings!$C$107:$G$211,4,FALSE)=0,"",VLOOKUP(ROW()-13,DAWorkings!$C$107:$G$211,4,FALSE)),"")</f>
        <v/>
      </c>
      <c r="L108" s="35"/>
      <c r="M108" s="320"/>
      <c r="N108" s="36"/>
    </row>
    <row r="109" spans="1:14">
      <c r="A109" s="34"/>
      <c r="B109" s="35" t="str">
        <f>_xlfn.IFNA(VLOOKUP(ROW()-13,DAWorkings!$C$106:$G$210,2,FALSE),"")</f>
        <v/>
      </c>
      <c r="C109" s="35"/>
      <c r="D109" s="35"/>
      <c r="E109" s="35"/>
      <c r="F109" s="35"/>
      <c r="G109" s="35"/>
      <c r="H109" s="35"/>
      <c r="I109" s="35"/>
      <c r="J109" s="35"/>
      <c r="K109" s="319" t="str">
        <f>_xlfn.IFNA(IF(VLOOKUP(ROW()-13,DAWorkings!$C$107:$G$211,4,FALSE)=0,"",VLOOKUP(ROW()-13,DAWorkings!$C$107:$G$211,4,FALSE)),"")</f>
        <v/>
      </c>
      <c r="L109" s="35"/>
      <c r="M109" s="320"/>
      <c r="N109" s="36"/>
    </row>
    <row r="110" spans="1:14">
      <c r="A110" s="34"/>
      <c r="B110" s="35" t="str">
        <f>_xlfn.IFNA(VLOOKUP(ROW()-13,DAWorkings!$C$106:$G$210,2,FALSE),"")</f>
        <v/>
      </c>
      <c r="C110" s="35"/>
      <c r="D110" s="35"/>
      <c r="E110" s="35"/>
      <c r="F110" s="35"/>
      <c r="G110" s="35"/>
      <c r="H110" s="35"/>
      <c r="I110" s="35"/>
      <c r="J110" s="35"/>
      <c r="K110" s="319" t="str">
        <f>_xlfn.IFNA(IF(VLOOKUP(ROW()-13,DAWorkings!$C$107:$G$211,4,FALSE)=0,"",VLOOKUP(ROW()-13,DAWorkings!$C$107:$G$211,4,FALSE)),"")</f>
        <v/>
      </c>
      <c r="L110" s="35"/>
      <c r="M110" s="320"/>
      <c r="N110" s="36"/>
    </row>
    <row r="111" spans="1:14">
      <c r="A111" s="34"/>
      <c r="B111" s="35" t="str">
        <f>_xlfn.IFNA(VLOOKUP(ROW()-13,DAWorkings!$C$106:$G$210,2,FALSE),"")</f>
        <v/>
      </c>
      <c r="C111" s="35"/>
      <c r="D111" s="35"/>
      <c r="E111" s="35"/>
      <c r="F111" s="35"/>
      <c r="G111" s="35"/>
      <c r="H111" s="35"/>
      <c r="I111" s="35"/>
      <c r="J111" s="35"/>
      <c r="K111" s="319" t="str">
        <f>_xlfn.IFNA(IF(VLOOKUP(ROW()-13,DAWorkings!$C$107:$G$211,4,FALSE)=0,"",VLOOKUP(ROW()-13,DAWorkings!$C$107:$G$211,4,FALSE)),"")</f>
        <v/>
      </c>
      <c r="L111" s="35"/>
      <c r="M111" s="320"/>
      <c r="N111" s="36"/>
    </row>
    <row r="112" spans="1:14" ht="15.75" thickBot="1">
      <c r="A112" s="37"/>
      <c r="B112" s="38" t="str">
        <f>_xlfn.IFNA(VLOOKUP(ROW()-13,DAWorkings!$C$106:$G$210,2,FALSE),"")</f>
        <v/>
      </c>
      <c r="C112" s="38"/>
      <c r="D112" s="38"/>
      <c r="E112" s="38"/>
      <c r="F112" s="38"/>
      <c r="G112" s="38"/>
      <c r="H112" s="38"/>
      <c r="I112" s="38"/>
      <c r="J112" s="38"/>
      <c r="K112" s="285" t="str">
        <f>_xlfn.IFNA(IF(VLOOKUP(ROW()-13,DAWorkings!$C$107:$G$211,4,FALSE)=0,"",VLOOKUP(ROW()-13,DAWorkings!$C$107:$G$211,4,FALSE)),"")</f>
        <v/>
      </c>
      <c r="L112" s="38"/>
      <c r="M112" s="218"/>
      <c r="N112" s="39"/>
    </row>
  </sheetData>
  <mergeCells count="3">
    <mergeCell ref="B5:C5"/>
    <mergeCell ref="B6:M11"/>
    <mergeCell ref="M13:N13"/>
  </mergeCells>
  <conditionalFormatting sqref="B14:B112">
    <cfRule type="containsText" dxfId="4" priority="1" operator="containsText" text="Actions">
      <formula>NOT(ISERROR(SEARCH("Actions",B14)))</formula>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1B03C-49C0-465E-8CE5-781AF375384C}">
  <sheetPr codeName="Sheet9">
    <tabColor rgb="FF002060"/>
  </sheetPr>
  <dimension ref="A1:P69"/>
  <sheetViews>
    <sheetView zoomScaleNormal="100" workbookViewId="0">
      <selection activeCell="B5" sqref="B5:C5"/>
    </sheetView>
  </sheetViews>
  <sheetFormatPr defaultRowHeight="15"/>
  <cols>
    <col min="1" max="1" width="4.42578125" customWidth="1"/>
    <col min="2" max="2" width="9.140625" style="104"/>
    <col min="3" max="4" width="20.7109375" customWidth="1"/>
    <col min="5" max="5" width="25.7109375" customWidth="1"/>
    <col min="6" max="9" width="20.7109375" customWidth="1"/>
    <col min="10" max="10" width="27.85546875" customWidth="1"/>
    <col min="11" max="15" width="25.7109375" customWidth="1"/>
    <col min="16" max="16" width="26.85546875" bestFit="1" customWidth="1"/>
  </cols>
  <sheetData>
    <row r="1" spans="1:16">
      <c r="A1" s="40"/>
      <c r="B1" s="225"/>
      <c r="C1" s="42"/>
      <c r="D1" s="42"/>
      <c r="E1" s="42"/>
      <c r="F1" s="42"/>
      <c r="G1" s="42"/>
      <c r="H1" s="42"/>
      <c r="I1" s="42"/>
      <c r="J1" s="42"/>
      <c r="K1" s="42"/>
      <c r="L1" s="42"/>
      <c r="M1" s="42"/>
      <c r="N1" s="42"/>
      <c r="O1" s="42"/>
      <c r="P1" s="43"/>
    </row>
    <row r="2" spans="1:16">
      <c r="A2" s="44"/>
      <c r="B2" s="226"/>
      <c r="C2" s="45"/>
      <c r="D2" s="45"/>
      <c r="E2" s="45"/>
      <c r="F2" s="286" t="s">
        <v>673</v>
      </c>
      <c r="G2" s="286"/>
      <c r="H2" s="45"/>
      <c r="I2" s="286" t="s">
        <v>672</v>
      </c>
      <c r="J2" s="45"/>
      <c r="K2" s="45"/>
      <c r="L2" s="45"/>
      <c r="M2" s="45"/>
      <c r="N2" s="45"/>
      <c r="O2" s="45"/>
      <c r="P2" s="46"/>
    </row>
    <row r="3" spans="1:16">
      <c r="A3" s="44"/>
      <c r="B3" s="226"/>
      <c r="C3" s="45"/>
      <c r="D3" s="45"/>
      <c r="E3" s="45"/>
      <c r="F3" s="286" t="s">
        <v>670</v>
      </c>
      <c r="G3" s="286"/>
      <c r="H3" s="45"/>
      <c r="I3" s="286" t="s">
        <v>670</v>
      </c>
      <c r="J3" s="45"/>
      <c r="K3" s="45"/>
      <c r="L3" s="45"/>
      <c r="M3" s="45"/>
      <c r="N3" s="45"/>
      <c r="O3" s="45"/>
      <c r="P3" s="46"/>
    </row>
    <row r="4" spans="1:16">
      <c r="A4" s="44"/>
      <c r="B4" s="226"/>
      <c r="C4" s="45"/>
      <c r="D4" s="45"/>
      <c r="E4" s="45"/>
      <c r="F4" s="286" t="s">
        <v>671</v>
      </c>
      <c r="G4" s="286"/>
      <c r="H4" s="45"/>
      <c r="I4" s="286" t="s">
        <v>671</v>
      </c>
      <c r="J4" s="45"/>
      <c r="K4" s="45"/>
      <c r="L4" s="45"/>
      <c r="M4" s="45"/>
      <c r="N4" s="45"/>
      <c r="O4" s="45"/>
      <c r="P4" s="46"/>
    </row>
    <row r="5" spans="1:16" ht="21">
      <c r="A5" s="294" t="s">
        <v>5</v>
      </c>
      <c r="B5" s="365" t="s">
        <v>1</v>
      </c>
      <c r="C5" s="365"/>
      <c r="D5" s="45"/>
      <c r="E5" s="45"/>
      <c r="F5" s="286"/>
      <c r="G5" s="45"/>
      <c r="H5" s="45"/>
      <c r="I5" s="45"/>
      <c r="J5" s="45"/>
      <c r="K5" s="45"/>
      <c r="L5" s="45"/>
      <c r="M5" s="45"/>
      <c r="N5" s="45"/>
      <c r="O5" s="45"/>
      <c r="P5" s="46"/>
    </row>
    <row r="6" spans="1:16" ht="15" customHeight="1">
      <c r="A6" s="44"/>
      <c r="B6" s="367" t="s">
        <v>789</v>
      </c>
      <c r="C6" s="367"/>
      <c r="D6" s="367"/>
      <c r="E6" s="367"/>
      <c r="F6" s="367"/>
      <c r="G6" s="367"/>
      <c r="H6" s="367"/>
      <c r="I6" s="367"/>
      <c r="J6" s="367"/>
      <c r="K6" s="367"/>
      <c r="L6" s="367"/>
      <c r="M6" s="313"/>
      <c r="N6" s="313"/>
      <c r="O6" s="313"/>
      <c r="P6" s="46"/>
    </row>
    <row r="7" spans="1:16">
      <c r="A7" s="44"/>
      <c r="B7" s="367"/>
      <c r="C7" s="367"/>
      <c r="D7" s="367"/>
      <c r="E7" s="367"/>
      <c r="F7" s="367"/>
      <c r="G7" s="367"/>
      <c r="H7" s="367"/>
      <c r="I7" s="367"/>
      <c r="J7" s="367"/>
      <c r="K7" s="367"/>
      <c r="L7" s="367"/>
      <c r="M7" s="313"/>
      <c r="N7" s="313"/>
      <c r="O7" s="313"/>
      <c r="P7" s="46"/>
    </row>
    <row r="8" spans="1:16" ht="15.75" thickBot="1">
      <c r="A8" s="47"/>
      <c r="B8" s="227"/>
      <c r="C8" s="48"/>
      <c r="D8" s="48"/>
      <c r="E8" s="48"/>
      <c r="F8" s="48"/>
      <c r="G8" s="48"/>
      <c r="H8" s="48"/>
      <c r="I8" s="48"/>
      <c r="J8" s="48"/>
      <c r="K8" s="48"/>
      <c r="L8" s="48"/>
      <c r="M8" s="48"/>
      <c r="N8" s="48"/>
      <c r="O8" s="48"/>
      <c r="P8" s="49"/>
    </row>
    <row r="9" spans="1:16" ht="15.75">
      <c r="A9" s="30"/>
      <c r="B9" s="287" t="s">
        <v>61</v>
      </c>
      <c r="C9" s="193" t="s">
        <v>141</v>
      </c>
      <c r="D9" s="193" t="s">
        <v>320</v>
      </c>
      <c r="E9" s="193" t="s">
        <v>169</v>
      </c>
      <c r="F9" s="193" t="s">
        <v>545</v>
      </c>
      <c r="G9" s="193" t="s">
        <v>142</v>
      </c>
      <c r="H9" s="193" t="s">
        <v>131</v>
      </c>
      <c r="I9" s="193" t="s">
        <v>546</v>
      </c>
      <c r="J9" s="288" t="s">
        <v>543</v>
      </c>
      <c r="K9" s="288" t="s">
        <v>544</v>
      </c>
      <c r="L9" s="193" t="s">
        <v>330</v>
      </c>
      <c r="M9" s="193" t="s">
        <v>776</v>
      </c>
      <c r="N9" s="193" t="s">
        <v>329</v>
      </c>
      <c r="O9" s="193" t="s">
        <v>873</v>
      </c>
      <c r="P9" s="289" t="s">
        <v>683</v>
      </c>
    </row>
    <row r="10" spans="1:16">
      <c r="A10" s="34"/>
      <c r="B10" s="462" t="str">
        <f>IF(_xlfn.IFNA(VLOOKUP(ROW()-9,DAWorkings!$AT:$BI,2,FALSE),"")=0,"",_xlfn.IFNA(VLOOKUP(ROW()-9,DAWorkings!$AT:$BI,2,FALSE),""))</f>
        <v>D.1.a</v>
      </c>
      <c r="C10" s="462" t="str">
        <f>_xlfn.IFNA(VLOOKUP(ROW()-9,DAWorkings!$AT:$BI,5,FALSE),"")</f>
        <v>Board</v>
      </c>
      <c r="D10" s="462" t="str">
        <f>_xlfn.IFNA(VLOOKUP(ROW()-9,DAWorkings!$AT:$BI,6,FALSE),"")</f>
        <v>Trustee</v>
      </c>
      <c r="E10" s="462" t="str">
        <f>_xlfn.IFNA(VLOOKUP(ROW()-9,DAWorkings!$AT:$BI,3,FALSE),"")</f>
        <v>Trustee Personal Details</v>
      </c>
      <c r="F10" s="462" t="str">
        <f>_xlfn.IFNA(VLOOKUP((VLOOKUP(ROW()-9,DAWorkings!$AT:$BI,4,FALSE)),DAWorkings!$AU$3:$AV$6,2,FALSE),"")</f>
        <v>Public</v>
      </c>
      <c r="G10" s="462" t="str">
        <f>_xlfn.IFNA(VLOOKUP(ROW()-9,DAWorkings!$AT:$BI,9,FALSE),"")</f>
        <v>Data Subject</v>
      </c>
      <c r="H10" s="462" t="str">
        <f>_xlfn.IFNA(VLOOKUP(ROW()-9,DAWorkings!$AT:$BI,7,FALSE),"")</f>
        <v>Compliance</v>
      </c>
      <c r="I10" s="462" t="str">
        <f>IF(_xlfn.IFNA(VLOOKUP(ROW()-9,DAWorkings!$AT:$BI,8,FALSE),"")=0,"",_xlfn.IFNA(VLOOKUP(ROW()-9,DAWorkings!$AT:$BI,8,FALSE),""))</f>
        <v/>
      </c>
      <c r="J10" s="462" t="str">
        <f>IF(_xlfn.IFNA(VLOOKUP(ROW()-9,DAWorkings!$AT:$BI,12,FALSE),"")=0,"",_xlfn.IFNA(VLOOKUP(ROW()-9,DAWorkings!$AT:$BI,12,FALSE),""))</f>
        <v>Article 6(1)(c) - legal obligation</v>
      </c>
      <c r="K10" s="462" t="str">
        <f>IF(_xlfn.IFNA(VLOOKUP(ROW()-9,DAWorkings!$AT:$BI,13,FALSE),"")=0,"",_xlfn.IFNA(VLOOKUP(ROW()-9,DAWorkings!$AT:$BI,13,FALSE),""))</f>
        <v/>
      </c>
      <c r="L10" s="462" t="str">
        <f>IF(_xlfn.IFNA(VLOOKUP(ROW()-9,DAWorkings!$AT:$BI,10,FALSE),"")=0,"",_xlfn.IFNA(VLOOKUP(ROW()-9,DAWorkings!$AT:$BI,10,FALSE),""))</f>
        <v>Central Trustee File</v>
      </c>
      <c r="M10" s="462" t="str">
        <f>IF(_xlfn.IFNA(VLOOKUP(ROW()-9,DAWorkings!$AT:$BI,10,FALSE),"")=0,"",_xlfn.IFNA(VLOOKUP(ROW()-9,DAWorkings!$AT:$BI,14,FALSE),""))</f>
        <v>Please complete W.1.b</v>
      </c>
      <c r="N10" s="462" t="str">
        <f>_xlfn.IFNA(INDEX('Retention Schedule'!K:N,MATCH(VLOOKUP(ROW()-9,DAWorkings!$AT:$BI,11,FALSE),'Retention Schedule'!N:N,0),1),"")</f>
        <v>Permanantly</v>
      </c>
      <c r="O10" s="462" t="str">
        <f>_xlfn.IFNA(VLOOKUP(ROW()-9,DAWorkings!$AT:$BI,15,FALSE),"")&amp;_xlfn.IFNA(IF(AND(VLOOKUP(ROW()-9,DAWorkings!$AT:$BJ,17,FALSE)="Yes(2)",VLOOKUP(ROW()-9,DAWorkings!$AT:$BI,15,FALSE)="Yes(1)")," &amp; ",""),"")&amp;IF(_xlfn.IFNA(VLOOKUP(ROW()-9,DAWorkings!$AT:$BJ,17,FALSE),"")=0,"",_xlfn.IFNA(VLOOKUP(ROW()-9,DAWorkings!$AT:$BJ,17,FALSE),""))</f>
        <v/>
      </c>
      <c r="P10" s="291" t="str">
        <f>IF(_xlfn.IFNA(VLOOKUP(ROW()-9,DAWorkings!$AT:$BI,10,FALSE),"")=0,"",_xlfn.IFNA(VLOOKUP(ROW()-9,DAWorkings!$AT:$BI,16,FALSE),""))</f>
        <v>Please complete W.1.c</v>
      </c>
    </row>
    <row r="11" spans="1:16">
      <c r="A11" s="34"/>
      <c r="B11" s="462" t="str">
        <f>IF(_xlfn.IFNA(VLOOKUP(ROW()-9,DAWorkings!$AT:$BI,2,FALSE),"")=0,"",_xlfn.IFNA(VLOOKUP(ROW()-9,DAWorkings!$AT:$BI,2,FALSE),""))</f>
        <v/>
      </c>
      <c r="C11" s="462" t="str">
        <f>_xlfn.IFNA(VLOOKUP(ROW()-9,DAWorkings!$AT:$BI,5,FALSE),"")</f>
        <v/>
      </c>
      <c r="D11" s="462" t="str">
        <f>_xlfn.IFNA(VLOOKUP(ROW()-9,DAWorkings!$AT:$BI,6,FALSE),"")</f>
        <v/>
      </c>
      <c r="E11" s="462" t="str">
        <f>_xlfn.IFNA(VLOOKUP(ROW()-9,DAWorkings!$AT:$BI,3,FALSE),"")</f>
        <v/>
      </c>
      <c r="F11" s="462" t="str">
        <f>_xlfn.IFNA(VLOOKUP((VLOOKUP(ROW()-9,DAWorkings!$AT:$BI,4,FALSE)),DAWorkings!$AU$3:$AV$6,2,FALSE),"")</f>
        <v/>
      </c>
      <c r="G11" s="462" t="str">
        <f>_xlfn.IFNA(VLOOKUP(ROW()-9,DAWorkings!$AT:$BI,9,FALSE),"")</f>
        <v/>
      </c>
      <c r="H11" s="462" t="str">
        <f>_xlfn.IFNA(VLOOKUP(ROW()-9,DAWorkings!$AT:$BI,7,FALSE),"")</f>
        <v/>
      </c>
      <c r="I11" s="462" t="str">
        <f>IF(_xlfn.IFNA(VLOOKUP(ROW()-9,DAWorkings!$AT:$BI,8,FALSE),"")=0,"",_xlfn.IFNA(VLOOKUP(ROW()-9,DAWorkings!$AT:$BI,8,FALSE),""))</f>
        <v/>
      </c>
      <c r="J11" s="462" t="str">
        <f>IF(_xlfn.IFNA(VLOOKUP(ROW()-9,DAWorkings!$AT:$BI,12,FALSE),"")=0,"",_xlfn.IFNA(VLOOKUP(ROW()-9,DAWorkings!$AT:$BI,12,FALSE),""))</f>
        <v/>
      </c>
      <c r="K11" s="462" t="str">
        <f>IF(_xlfn.IFNA(VLOOKUP(ROW()-9,DAWorkings!$AT:$BI,13,FALSE),"")=0,"",_xlfn.IFNA(VLOOKUP(ROW()-9,DAWorkings!$AT:$BI,13,FALSE),""))</f>
        <v/>
      </c>
      <c r="L11" s="462" t="str">
        <f>IF(_xlfn.IFNA(VLOOKUP(ROW()-9,DAWorkings!$AT:$BI,10,FALSE),"")=0,"",_xlfn.IFNA(VLOOKUP(ROW()-9,DAWorkings!$AT:$BI,10,FALSE),""))</f>
        <v/>
      </c>
      <c r="M11" s="462" t="str">
        <f>IF(_xlfn.IFNA(VLOOKUP(ROW()-9,DAWorkings!$AT:$BI,10,FALSE),"")=0,"",_xlfn.IFNA(VLOOKUP(ROW()-9,DAWorkings!$AT:$BI,14,FALSE),""))</f>
        <v/>
      </c>
      <c r="N11" s="462" t="str">
        <f>_xlfn.IFNA(INDEX('Retention Schedule'!K:N,MATCH(VLOOKUP(ROW()-9,DAWorkings!$AT:$BI,11,FALSE),'Retention Schedule'!N:N,0),1),"")</f>
        <v/>
      </c>
      <c r="O11" s="462" t="str">
        <f>_xlfn.IFNA(VLOOKUP(ROW()-9,DAWorkings!$AT:$BI,15,FALSE),"")&amp;_xlfn.IFNA(IF(AND(VLOOKUP(ROW()-9,DAWorkings!$AT:$BJ,17,FALSE)="Yes(2)",VLOOKUP(ROW()-9,DAWorkings!$AT:$BI,15,FALSE)="Yes(1)")," &amp; ",""),"")&amp;IF(_xlfn.IFNA(VLOOKUP(ROW()-9,DAWorkings!$AT:$BJ,17,FALSE),"")=0,"",_xlfn.IFNA(VLOOKUP(ROW()-9,DAWorkings!$AT:$BJ,17,FALSE),""))</f>
        <v/>
      </c>
      <c r="P11" s="291" t="str">
        <f>IF(_xlfn.IFNA(VLOOKUP(ROW()-9,DAWorkings!$AT:$BI,10,FALSE),"")=0,"",_xlfn.IFNA(VLOOKUP(ROW()-9,DAWorkings!$AT:$BI,16,FALSE),""))</f>
        <v/>
      </c>
    </row>
    <row r="12" spans="1:16">
      <c r="A12" s="34"/>
      <c r="B12" s="462" t="str">
        <f>IF(_xlfn.IFNA(VLOOKUP(ROW()-9,DAWorkings!$AT:$BI,2,FALSE),"")=0,"",_xlfn.IFNA(VLOOKUP(ROW()-9,DAWorkings!$AT:$BI,2,FALSE),""))</f>
        <v/>
      </c>
      <c r="C12" s="462" t="str">
        <f>_xlfn.IFNA(VLOOKUP(ROW()-9,DAWorkings!$AT:$BI,5,FALSE),"")</f>
        <v/>
      </c>
      <c r="D12" s="462" t="str">
        <f>_xlfn.IFNA(VLOOKUP(ROW()-9,DAWorkings!$AT:$BI,6,FALSE),"")</f>
        <v/>
      </c>
      <c r="E12" s="462" t="str">
        <f>_xlfn.IFNA(VLOOKUP(ROW()-9,DAWorkings!$AT:$BI,3,FALSE),"")</f>
        <v/>
      </c>
      <c r="F12" s="462" t="str">
        <f>_xlfn.IFNA(VLOOKUP((VLOOKUP(ROW()-9,DAWorkings!$AT:$BI,4,FALSE)),DAWorkings!$AU$3:$AV$6,2,FALSE),"")</f>
        <v/>
      </c>
      <c r="G12" s="462" t="str">
        <f>_xlfn.IFNA(VLOOKUP(ROW()-9,DAWorkings!$AT:$BI,9,FALSE),"")</f>
        <v/>
      </c>
      <c r="H12" s="462" t="str">
        <f>_xlfn.IFNA(VLOOKUP(ROW()-9,DAWorkings!$AT:$BI,7,FALSE),"")</f>
        <v/>
      </c>
      <c r="I12" s="462" t="str">
        <f>IF(_xlfn.IFNA(VLOOKUP(ROW()-9,DAWorkings!$AT:$BI,8,FALSE),"")=0,"",_xlfn.IFNA(VLOOKUP(ROW()-9,DAWorkings!$AT:$BI,8,FALSE),""))</f>
        <v/>
      </c>
      <c r="J12" s="462" t="str">
        <f>IF(_xlfn.IFNA(VLOOKUP(ROW()-9,DAWorkings!$AT:$BI,12,FALSE),"")=0,"",_xlfn.IFNA(VLOOKUP(ROW()-9,DAWorkings!$AT:$BI,12,FALSE),""))</f>
        <v/>
      </c>
      <c r="K12" s="462" t="str">
        <f>IF(_xlfn.IFNA(VLOOKUP(ROW()-9,DAWorkings!$AT:$BI,13,FALSE),"")=0,"",_xlfn.IFNA(VLOOKUP(ROW()-9,DAWorkings!$AT:$BI,13,FALSE),""))</f>
        <v/>
      </c>
      <c r="L12" s="462" t="str">
        <f>IF(_xlfn.IFNA(VLOOKUP(ROW()-9,DAWorkings!$AT:$BI,10,FALSE),"")=0,"",_xlfn.IFNA(VLOOKUP(ROW()-9,DAWorkings!$AT:$BI,10,FALSE),""))</f>
        <v/>
      </c>
      <c r="M12" s="462" t="str">
        <f>IF(_xlfn.IFNA(VLOOKUP(ROW()-9,DAWorkings!$AT:$BI,10,FALSE),"")=0,"",_xlfn.IFNA(VLOOKUP(ROW()-9,DAWorkings!$AT:$BI,14,FALSE),""))</f>
        <v/>
      </c>
      <c r="N12" s="462" t="str">
        <f>_xlfn.IFNA(INDEX('Retention Schedule'!K:N,MATCH(VLOOKUP(ROW()-9,DAWorkings!$AT:$BI,11,FALSE),'Retention Schedule'!N:N,0),1),"")</f>
        <v/>
      </c>
      <c r="O12" s="462" t="str">
        <f>_xlfn.IFNA(VLOOKUP(ROW()-9,DAWorkings!$AT:$BI,15,FALSE),"")&amp;_xlfn.IFNA(IF(AND(VLOOKUP(ROW()-9,DAWorkings!$AT:$BJ,17,FALSE)="Yes(2)",VLOOKUP(ROW()-9,DAWorkings!$AT:$BI,15,FALSE)="Yes(1)")," &amp; ",""),"")&amp;IF(_xlfn.IFNA(VLOOKUP(ROW()-9,DAWorkings!$AT:$BJ,17,FALSE),"")=0,"",_xlfn.IFNA(VLOOKUP(ROW()-9,DAWorkings!$AT:$BJ,17,FALSE),""))</f>
        <v/>
      </c>
      <c r="P12" s="291" t="str">
        <f>IF(_xlfn.IFNA(VLOOKUP(ROW()-9,DAWorkings!$AT:$BI,10,FALSE),"")=0,"",_xlfn.IFNA(VLOOKUP(ROW()-9,DAWorkings!$AT:$BI,16,FALSE),""))</f>
        <v/>
      </c>
    </row>
    <row r="13" spans="1:16">
      <c r="A13" s="34"/>
      <c r="B13" s="462" t="str">
        <f>IF(_xlfn.IFNA(VLOOKUP(ROW()-9,DAWorkings!$AT:$BI,2,FALSE),"")=0,"",_xlfn.IFNA(VLOOKUP(ROW()-9,DAWorkings!$AT:$BI,2,FALSE),""))</f>
        <v/>
      </c>
      <c r="C13" s="462" t="str">
        <f>_xlfn.IFNA(VLOOKUP(ROW()-9,DAWorkings!$AT:$BI,5,FALSE),"")</f>
        <v/>
      </c>
      <c r="D13" s="462" t="str">
        <f>_xlfn.IFNA(VLOOKUP(ROW()-9,DAWorkings!$AT:$BI,6,FALSE),"")</f>
        <v/>
      </c>
      <c r="E13" s="462" t="str">
        <f>_xlfn.IFNA(VLOOKUP(ROW()-9,DAWorkings!$AT:$BI,3,FALSE),"")</f>
        <v/>
      </c>
      <c r="F13" s="462" t="str">
        <f>_xlfn.IFNA(VLOOKUP((VLOOKUP(ROW()-9,DAWorkings!$AT:$BI,4,FALSE)),DAWorkings!$AU$3:$AV$6,2,FALSE),"")</f>
        <v/>
      </c>
      <c r="G13" s="462" t="str">
        <f>_xlfn.IFNA(VLOOKUP(ROW()-9,DAWorkings!$AT:$BI,9,FALSE),"")</f>
        <v/>
      </c>
      <c r="H13" s="462" t="str">
        <f>_xlfn.IFNA(VLOOKUP(ROW()-9,DAWorkings!$AT:$BI,7,FALSE),"")</f>
        <v/>
      </c>
      <c r="I13" s="462" t="str">
        <f>IF(_xlfn.IFNA(VLOOKUP(ROW()-9,DAWorkings!$AT:$BI,8,FALSE),"")=0,"",_xlfn.IFNA(VLOOKUP(ROW()-9,DAWorkings!$AT:$BI,8,FALSE),""))</f>
        <v/>
      </c>
      <c r="J13" s="462" t="str">
        <f>IF(_xlfn.IFNA(VLOOKUP(ROW()-9,DAWorkings!$AT:$BI,12,FALSE),"")=0,"",_xlfn.IFNA(VLOOKUP(ROW()-9,DAWorkings!$AT:$BI,12,FALSE),""))</f>
        <v/>
      </c>
      <c r="K13" s="462" t="str">
        <f>IF(_xlfn.IFNA(VLOOKUP(ROW()-9,DAWorkings!$AT:$BI,13,FALSE),"")=0,"",_xlfn.IFNA(VLOOKUP(ROW()-9,DAWorkings!$AT:$BI,13,FALSE),""))</f>
        <v/>
      </c>
      <c r="L13" s="462" t="str">
        <f>IF(_xlfn.IFNA(VLOOKUP(ROW()-9,DAWorkings!$AT:$BI,10,FALSE),"")=0,"",_xlfn.IFNA(VLOOKUP(ROW()-9,DAWorkings!$AT:$BI,10,FALSE),""))</f>
        <v/>
      </c>
      <c r="M13" s="462" t="str">
        <f>IF(_xlfn.IFNA(VLOOKUP(ROW()-9,DAWorkings!$AT:$BI,10,FALSE),"")=0,"",_xlfn.IFNA(VLOOKUP(ROW()-9,DAWorkings!$AT:$BI,14,FALSE),""))</f>
        <v/>
      </c>
      <c r="N13" s="462" t="str">
        <f>_xlfn.IFNA(INDEX('Retention Schedule'!K:N,MATCH(VLOOKUP(ROW()-9,DAWorkings!$AT:$BI,11,FALSE),'Retention Schedule'!N:N,0),1),"")</f>
        <v/>
      </c>
      <c r="O13" s="462" t="str">
        <f>_xlfn.IFNA(VLOOKUP(ROW()-9,DAWorkings!$AT:$BI,15,FALSE),"")&amp;_xlfn.IFNA(IF(AND(VLOOKUP(ROW()-9,DAWorkings!$AT:$BJ,17,FALSE)="Yes(2)",VLOOKUP(ROW()-9,DAWorkings!$AT:$BI,15,FALSE)="Yes(1)")," &amp; ",""),"")&amp;IF(_xlfn.IFNA(VLOOKUP(ROW()-9,DAWorkings!$AT:$BJ,17,FALSE),"")=0,"",_xlfn.IFNA(VLOOKUP(ROW()-9,DAWorkings!$AT:$BJ,17,FALSE),""))</f>
        <v/>
      </c>
      <c r="P13" s="291" t="str">
        <f>IF(_xlfn.IFNA(VLOOKUP(ROW()-9,DAWorkings!$AT:$BI,10,FALSE),"")=0,"",_xlfn.IFNA(VLOOKUP(ROW()-9,DAWorkings!$AT:$BI,16,FALSE),""))</f>
        <v/>
      </c>
    </row>
    <row r="14" spans="1:16">
      <c r="A14" s="34"/>
      <c r="B14" s="462" t="str">
        <f>IF(_xlfn.IFNA(VLOOKUP(ROW()-9,DAWorkings!$AT:$BI,2,FALSE),"")=0,"",_xlfn.IFNA(VLOOKUP(ROW()-9,DAWorkings!$AT:$BI,2,FALSE),""))</f>
        <v/>
      </c>
      <c r="C14" s="462" t="str">
        <f>_xlfn.IFNA(VLOOKUP(ROW()-9,DAWorkings!$AT:$BI,5,FALSE),"")</f>
        <v/>
      </c>
      <c r="D14" s="462" t="str">
        <f>_xlfn.IFNA(VLOOKUP(ROW()-9,DAWorkings!$AT:$BI,6,FALSE),"")</f>
        <v/>
      </c>
      <c r="E14" s="462" t="str">
        <f>_xlfn.IFNA(VLOOKUP(ROW()-9,DAWorkings!$AT:$BI,3,FALSE),"")</f>
        <v/>
      </c>
      <c r="F14" s="462" t="str">
        <f>_xlfn.IFNA(VLOOKUP((VLOOKUP(ROW()-9,DAWorkings!$AT:$BI,4,FALSE)),DAWorkings!$AU$3:$AV$6,2,FALSE),"")</f>
        <v/>
      </c>
      <c r="G14" s="462" t="str">
        <f>_xlfn.IFNA(VLOOKUP(ROW()-9,DAWorkings!$AT:$BI,9,FALSE),"")</f>
        <v/>
      </c>
      <c r="H14" s="462" t="str">
        <f>_xlfn.IFNA(VLOOKUP(ROW()-9,DAWorkings!$AT:$BI,7,FALSE),"")</f>
        <v/>
      </c>
      <c r="I14" s="462" t="str">
        <f>IF(_xlfn.IFNA(VLOOKUP(ROW()-9,DAWorkings!$AT:$BI,8,FALSE),"")=0,"",_xlfn.IFNA(VLOOKUP(ROW()-9,DAWorkings!$AT:$BI,8,FALSE),""))</f>
        <v/>
      </c>
      <c r="J14" s="462" t="str">
        <f>IF(_xlfn.IFNA(VLOOKUP(ROW()-9,DAWorkings!$AT:$BI,12,FALSE),"")=0,"",_xlfn.IFNA(VLOOKUP(ROW()-9,DAWorkings!$AT:$BI,12,FALSE),""))</f>
        <v/>
      </c>
      <c r="K14" s="462" t="str">
        <f>IF(_xlfn.IFNA(VLOOKUP(ROW()-9,DAWorkings!$AT:$BI,13,FALSE),"")=0,"",_xlfn.IFNA(VLOOKUP(ROW()-9,DAWorkings!$AT:$BI,13,FALSE),""))</f>
        <v/>
      </c>
      <c r="L14" s="462" t="str">
        <f>IF(_xlfn.IFNA(VLOOKUP(ROW()-9,DAWorkings!$AT:$BI,10,FALSE),"")=0,"",_xlfn.IFNA(VLOOKUP(ROW()-9,DAWorkings!$AT:$BI,10,FALSE),""))</f>
        <v/>
      </c>
      <c r="M14" s="462" t="str">
        <f>IF(_xlfn.IFNA(VLOOKUP(ROW()-9,DAWorkings!$AT:$BI,10,FALSE),"")=0,"",_xlfn.IFNA(VLOOKUP(ROW()-9,DAWorkings!$AT:$BI,14,FALSE),""))</f>
        <v/>
      </c>
      <c r="N14" s="462" t="str">
        <f>_xlfn.IFNA(INDEX('Retention Schedule'!K:N,MATCH(VLOOKUP(ROW()-9,DAWorkings!$AT:$BI,11,FALSE),'Retention Schedule'!N:N,0),1),"")</f>
        <v/>
      </c>
      <c r="O14" s="462" t="str">
        <f>_xlfn.IFNA(VLOOKUP(ROW()-9,DAWorkings!$AT:$BI,15,FALSE),"")&amp;_xlfn.IFNA(IF(AND(VLOOKUP(ROW()-9,DAWorkings!$AT:$BJ,17,FALSE)="Yes(2)",VLOOKUP(ROW()-9,DAWorkings!$AT:$BI,15,FALSE)="Yes(1)")," &amp; ",""),"")&amp;IF(_xlfn.IFNA(VLOOKUP(ROW()-9,DAWorkings!$AT:$BJ,17,FALSE),"")=0,"",_xlfn.IFNA(VLOOKUP(ROW()-9,DAWorkings!$AT:$BJ,17,FALSE),""))</f>
        <v/>
      </c>
      <c r="P14" s="291" t="str">
        <f>IF(_xlfn.IFNA(VLOOKUP(ROW()-9,DAWorkings!$AT:$BI,10,FALSE),"")=0,"",_xlfn.IFNA(VLOOKUP(ROW()-9,DAWorkings!$AT:$BI,16,FALSE),""))</f>
        <v/>
      </c>
    </row>
    <row r="15" spans="1:16">
      <c r="A15" s="34"/>
      <c r="B15" s="462" t="str">
        <f>IF(_xlfn.IFNA(VLOOKUP(ROW()-9,DAWorkings!$AT:$BI,2,FALSE),"")=0,"",_xlfn.IFNA(VLOOKUP(ROW()-9,DAWorkings!$AT:$BI,2,FALSE),""))</f>
        <v/>
      </c>
      <c r="C15" s="462" t="str">
        <f>_xlfn.IFNA(VLOOKUP(ROW()-9,DAWorkings!$AT:$BI,5,FALSE),"")</f>
        <v/>
      </c>
      <c r="D15" s="462" t="str">
        <f>_xlfn.IFNA(VLOOKUP(ROW()-9,DAWorkings!$AT:$BI,6,FALSE),"")</f>
        <v/>
      </c>
      <c r="E15" s="462" t="str">
        <f>_xlfn.IFNA(VLOOKUP(ROW()-9,DAWorkings!$AT:$BI,3,FALSE),"")</f>
        <v/>
      </c>
      <c r="F15" s="462" t="str">
        <f>_xlfn.IFNA(VLOOKUP((VLOOKUP(ROW()-9,DAWorkings!$AT:$BI,4,FALSE)),DAWorkings!$AU$3:$AV$6,2,FALSE),"")</f>
        <v/>
      </c>
      <c r="G15" s="462" t="str">
        <f>_xlfn.IFNA(VLOOKUP(ROW()-9,DAWorkings!$AT:$BI,9,FALSE),"")</f>
        <v/>
      </c>
      <c r="H15" s="462" t="str">
        <f>_xlfn.IFNA(VLOOKUP(ROW()-9,DAWorkings!$AT:$BI,7,FALSE),"")</f>
        <v/>
      </c>
      <c r="I15" s="462" t="str">
        <f>IF(_xlfn.IFNA(VLOOKUP(ROW()-9,DAWorkings!$AT:$BI,8,FALSE),"")=0,"",_xlfn.IFNA(VLOOKUP(ROW()-9,DAWorkings!$AT:$BI,8,FALSE),""))</f>
        <v/>
      </c>
      <c r="J15" s="462" t="str">
        <f>IF(_xlfn.IFNA(VLOOKUP(ROW()-9,DAWorkings!$AT:$BI,12,FALSE),"")=0,"",_xlfn.IFNA(VLOOKUP(ROW()-9,DAWorkings!$AT:$BI,12,FALSE),""))</f>
        <v/>
      </c>
      <c r="K15" s="462" t="str">
        <f>IF(_xlfn.IFNA(VLOOKUP(ROW()-9,DAWorkings!$AT:$BI,13,FALSE),"")=0,"",_xlfn.IFNA(VLOOKUP(ROW()-9,DAWorkings!$AT:$BI,13,FALSE),""))</f>
        <v/>
      </c>
      <c r="L15" s="462" t="str">
        <f>IF(_xlfn.IFNA(VLOOKUP(ROW()-9,DAWorkings!$AT:$BI,10,FALSE),"")=0,"",_xlfn.IFNA(VLOOKUP(ROW()-9,DAWorkings!$AT:$BI,10,FALSE),""))</f>
        <v/>
      </c>
      <c r="M15" s="462" t="str">
        <f>IF(_xlfn.IFNA(VLOOKUP(ROW()-9,DAWorkings!$AT:$BI,10,FALSE),"")=0,"",_xlfn.IFNA(VLOOKUP(ROW()-9,DAWorkings!$AT:$BI,14,FALSE),""))</f>
        <v/>
      </c>
      <c r="N15" s="462" t="str">
        <f>_xlfn.IFNA(INDEX('Retention Schedule'!K:N,MATCH(VLOOKUP(ROW()-9,DAWorkings!$AT:$BI,11,FALSE),'Retention Schedule'!N:N,0),1),"")</f>
        <v/>
      </c>
      <c r="O15" s="462" t="str">
        <f>_xlfn.IFNA(VLOOKUP(ROW()-9,DAWorkings!$AT:$BI,15,FALSE),"")&amp;_xlfn.IFNA(IF(AND(VLOOKUP(ROW()-9,DAWorkings!$AT:$BJ,17,FALSE)="Yes(2)",VLOOKUP(ROW()-9,DAWorkings!$AT:$BI,15,FALSE)="Yes(1)")," &amp; ",""),"")&amp;IF(_xlfn.IFNA(VLOOKUP(ROW()-9,DAWorkings!$AT:$BJ,17,FALSE),"")=0,"",_xlfn.IFNA(VLOOKUP(ROW()-9,DAWorkings!$AT:$BJ,17,FALSE),""))</f>
        <v/>
      </c>
      <c r="P15" s="291" t="str">
        <f>IF(_xlfn.IFNA(VLOOKUP(ROW()-9,DAWorkings!$AT:$BI,10,FALSE),"")=0,"",_xlfn.IFNA(VLOOKUP(ROW()-9,DAWorkings!$AT:$BI,16,FALSE),""))</f>
        <v/>
      </c>
    </row>
    <row r="16" spans="1:16">
      <c r="A16" s="34"/>
      <c r="B16" s="462" t="str">
        <f>IF(_xlfn.IFNA(VLOOKUP(ROW()-9,DAWorkings!$AT:$BI,2,FALSE),"")=0,"",_xlfn.IFNA(VLOOKUP(ROW()-9,DAWorkings!$AT:$BI,2,FALSE),""))</f>
        <v/>
      </c>
      <c r="C16" s="462" t="str">
        <f>_xlfn.IFNA(VLOOKUP(ROW()-9,DAWorkings!$AT:$BI,5,FALSE),"")</f>
        <v/>
      </c>
      <c r="D16" s="462" t="str">
        <f>_xlfn.IFNA(VLOOKUP(ROW()-9,DAWorkings!$AT:$BI,6,FALSE),"")</f>
        <v/>
      </c>
      <c r="E16" s="462" t="str">
        <f>_xlfn.IFNA(VLOOKUP(ROW()-9,DAWorkings!$AT:$BI,3,FALSE),"")</f>
        <v/>
      </c>
      <c r="F16" s="462" t="str">
        <f>_xlfn.IFNA(VLOOKUP((VLOOKUP(ROW()-9,DAWorkings!$AT:$BI,4,FALSE)),DAWorkings!$AU$3:$AV$6,2,FALSE),"")</f>
        <v/>
      </c>
      <c r="G16" s="462" t="str">
        <f>_xlfn.IFNA(VLOOKUP(ROW()-9,DAWorkings!$AT:$BI,9,FALSE),"")</f>
        <v/>
      </c>
      <c r="H16" s="462" t="str">
        <f>_xlfn.IFNA(VLOOKUP(ROW()-9,DAWorkings!$AT:$BI,7,FALSE),"")</f>
        <v/>
      </c>
      <c r="I16" s="462" t="str">
        <f>IF(_xlfn.IFNA(VLOOKUP(ROW()-9,DAWorkings!$AT:$BI,8,FALSE),"")=0,"",_xlfn.IFNA(VLOOKUP(ROW()-9,DAWorkings!$AT:$BI,8,FALSE),""))</f>
        <v/>
      </c>
      <c r="J16" s="462" t="str">
        <f>IF(_xlfn.IFNA(VLOOKUP(ROW()-9,DAWorkings!$AT:$BI,12,FALSE),"")=0,"",_xlfn.IFNA(VLOOKUP(ROW()-9,DAWorkings!$AT:$BI,12,FALSE),""))</f>
        <v/>
      </c>
      <c r="K16" s="462" t="str">
        <f>IF(_xlfn.IFNA(VLOOKUP(ROW()-9,DAWorkings!$AT:$BI,13,FALSE),"")=0,"",_xlfn.IFNA(VLOOKUP(ROW()-9,DAWorkings!$AT:$BI,13,FALSE),""))</f>
        <v/>
      </c>
      <c r="L16" s="462" t="str">
        <f>IF(_xlfn.IFNA(VLOOKUP(ROW()-9,DAWorkings!$AT:$BI,10,FALSE),"")=0,"",_xlfn.IFNA(VLOOKUP(ROW()-9,DAWorkings!$AT:$BI,10,FALSE),""))</f>
        <v/>
      </c>
      <c r="M16" s="462" t="str">
        <f>IF(_xlfn.IFNA(VLOOKUP(ROW()-9,DAWorkings!$AT:$BI,10,FALSE),"")=0,"",_xlfn.IFNA(VLOOKUP(ROW()-9,DAWorkings!$AT:$BI,14,FALSE),""))</f>
        <v/>
      </c>
      <c r="N16" s="462" t="str">
        <f>_xlfn.IFNA(INDEX('Retention Schedule'!K:N,MATCH(VLOOKUP(ROW()-9,DAWorkings!$AT:$BI,11,FALSE),'Retention Schedule'!N:N,0),1),"")</f>
        <v/>
      </c>
      <c r="O16" s="462" t="str">
        <f>_xlfn.IFNA(VLOOKUP(ROW()-9,DAWorkings!$AT:$BI,15,FALSE),"")&amp;_xlfn.IFNA(IF(AND(VLOOKUP(ROW()-9,DAWorkings!$AT:$BJ,17,FALSE)="Yes(2)",VLOOKUP(ROW()-9,DAWorkings!$AT:$BI,15,FALSE)="Yes(1)")," &amp; ",""),"")&amp;IF(_xlfn.IFNA(VLOOKUP(ROW()-9,DAWorkings!$AT:$BJ,17,FALSE),"")=0,"",_xlfn.IFNA(VLOOKUP(ROW()-9,DAWorkings!$AT:$BJ,17,FALSE),""))</f>
        <v/>
      </c>
      <c r="P16" s="291" t="str">
        <f>IF(_xlfn.IFNA(VLOOKUP(ROW()-9,DAWorkings!$AT:$BI,10,FALSE),"")=0,"",_xlfn.IFNA(VLOOKUP(ROW()-9,DAWorkings!$AT:$BI,16,FALSE),""))</f>
        <v/>
      </c>
    </row>
    <row r="17" spans="1:16">
      <c r="A17" s="34"/>
      <c r="B17" s="462" t="str">
        <f>IF(_xlfn.IFNA(VLOOKUP(ROW()-9,DAWorkings!$AT:$BI,2,FALSE),"")=0,"",_xlfn.IFNA(VLOOKUP(ROW()-9,DAWorkings!$AT:$BI,2,FALSE),""))</f>
        <v/>
      </c>
      <c r="C17" s="462" t="str">
        <f>_xlfn.IFNA(VLOOKUP(ROW()-9,DAWorkings!$AT:$BI,5,FALSE),"")</f>
        <v/>
      </c>
      <c r="D17" s="462" t="str">
        <f>_xlfn.IFNA(VLOOKUP(ROW()-9,DAWorkings!$AT:$BI,6,FALSE),"")</f>
        <v/>
      </c>
      <c r="E17" s="462" t="str">
        <f>_xlfn.IFNA(VLOOKUP(ROW()-9,DAWorkings!$AT:$BI,3,FALSE),"")</f>
        <v/>
      </c>
      <c r="F17" s="462" t="str">
        <f>_xlfn.IFNA(VLOOKUP((VLOOKUP(ROW()-9,DAWorkings!$AT:$BI,4,FALSE)),DAWorkings!$AU$3:$AV$6,2,FALSE),"")</f>
        <v/>
      </c>
      <c r="G17" s="462" t="str">
        <f>_xlfn.IFNA(VLOOKUP(ROW()-9,DAWorkings!$AT:$BI,9,FALSE),"")</f>
        <v/>
      </c>
      <c r="H17" s="462" t="str">
        <f>_xlfn.IFNA(VLOOKUP(ROW()-9,DAWorkings!$AT:$BI,7,FALSE),"")</f>
        <v/>
      </c>
      <c r="I17" s="462" t="str">
        <f>IF(_xlfn.IFNA(VLOOKUP(ROW()-9,DAWorkings!$AT:$BI,8,FALSE),"")=0,"",_xlfn.IFNA(VLOOKUP(ROW()-9,DAWorkings!$AT:$BI,8,FALSE),""))</f>
        <v/>
      </c>
      <c r="J17" s="462" t="str">
        <f>IF(_xlfn.IFNA(VLOOKUP(ROW()-9,DAWorkings!$AT:$BI,12,FALSE),"")=0,"",_xlfn.IFNA(VLOOKUP(ROW()-9,DAWorkings!$AT:$BI,12,FALSE),""))</f>
        <v/>
      </c>
      <c r="K17" s="462" t="str">
        <f>IF(_xlfn.IFNA(VLOOKUP(ROW()-9,DAWorkings!$AT:$BI,13,FALSE),"")=0,"",_xlfn.IFNA(VLOOKUP(ROW()-9,DAWorkings!$AT:$BI,13,FALSE),""))</f>
        <v/>
      </c>
      <c r="L17" s="462" t="str">
        <f>IF(_xlfn.IFNA(VLOOKUP(ROW()-9,DAWorkings!$AT:$BI,10,FALSE),"")=0,"",_xlfn.IFNA(VLOOKUP(ROW()-9,DAWorkings!$AT:$BI,10,FALSE),""))</f>
        <v/>
      </c>
      <c r="M17" s="462" t="str">
        <f>IF(_xlfn.IFNA(VLOOKUP(ROW()-9,DAWorkings!$AT:$BI,10,FALSE),"")=0,"",_xlfn.IFNA(VLOOKUP(ROW()-9,DAWorkings!$AT:$BI,14,FALSE),""))</f>
        <v/>
      </c>
      <c r="N17" s="462" t="str">
        <f>_xlfn.IFNA(INDEX('Retention Schedule'!K:N,MATCH(VLOOKUP(ROW()-9,DAWorkings!$AT:$BI,11,FALSE),'Retention Schedule'!N:N,0),1),"")</f>
        <v/>
      </c>
      <c r="O17" s="462" t="str">
        <f>_xlfn.IFNA(VLOOKUP(ROW()-9,DAWorkings!$AT:$BI,15,FALSE),"")&amp;_xlfn.IFNA(IF(AND(VLOOKUP(ROW()-9,DAWorkings!$AT:$BJ,17,FALSE)="Yes(2)",VLOOKUP(ROW()-9,DAWorkings!$AT:$BI,15,FALSE)="Yes(1)")," &amp; ",""),"")&amp;IF(_xlfn.IFNA(VLOOKUP(ROW()-9,DAWorkings!$AT:$BJ,17,FALSE),"")=0,"",_xlfn.IFNA(VLOOKUP(ROW()-9,DAWorkings!$AT:$BJ,17,FALSE),""))</f>
        <v/>
      </c>
      <c r="P17" s="291" t="str">
        <f>IF(_xlfn.IFNA(VLOOKUP(ROW()-9,DAWorkings!$AT:$BI,10,FALSE),"")=0,"",_xlfn.IFNA(VLOOKUP(ROW()-9,DAWorkings!$AT:$BI,16,FALSE),""))</f>
        <v/>
      </c>
    </row>
    <row r="18" spans="1:16">
      <c r="A18" s="34"/>
      <c r="B18" s="462" t="str">
        <f>IF(_xlfn.IFNA(VLOOKUP(ROW()-9,DAWorkings!$AT:$BI,2,FALSE),"")=0,"",_xlfn.IFNA(VLOOKUP(ROW()-9,DAWorkings!$AT:$BI,2,FALSE),""))</f>
        <v/>
      </c>
      <c r="C18" s="462" t="str">
        <f>_xlfn.IFNA(VLOOKUP(ROW()-9,DAWorkings!$AT:$BI,5,FALSE),"")</f>
        <v/>
      </c>
      <c r="D18" s="462" t="str">
        <f>_xlfn.IFNA(VLOOKUP(ROW()-9,DAWorkings!$AT:$BI,6,FALSE),"")</f>
        <v/>
      </c>
      <c r="E18" s="462" t="str">
        <f>_xlfn.IFNA(VLOOKUP(ROW()-9,DAWorkings!$AT:$BI,3,FALSE),"")</f>
        <v/>
      </c>
      <c r="F18" s="462" t="str">
        <f>_xlfn.IFNA(VLOOKUP((VLOOKUP(ROW()-9,DAWorkings!$AT:$BI,4,FALSE)),DAWorkings!$AU$3:$AV$6,2,FALSE),"")</f>
        <v/>
      </c>
      <c r="G18" s="462" t="str">
        <f>_xlfn.IFNA(VLOOKUP(ROW()-9,DAWorkings!$AT:$BI,9,FALSE),"")</f>
        <v/>
      </c>
      <c r="H18" s="462" t="str">
        <f>_xlfn.IFNA(VLOOKUP(ROW()-9,DAWorkings!$AT:$BI,7,FALSE),"")</f>
        <v/>
      </c>
      <c r="I18" s="462" t="str">
        <f>IF(_xlfn.IFNA(VLOOKUP(ROW()-9,DAWorkings!$AT:$BI,8,FALSE),"")=0,"",_xlfn.IFNA(VLOOKUP(ROW()-9,DAWorkings!$AT:$BI,8,FALSE),""))</f>
        <v/>
      </c>
      <c r="J18" s="462" t="str">
        <f>IF(_xlfn.IFNA(VLOOKUP(ROW()-9,DAWorkings!$AT:$BI,12,FALSE),"")=0,"",_xlfn.IFNA(VLOOKUP(ROW()-9,DAWorkings!$AT:$BI,12,FALSE),""))</f>
        <v/>
      </c>
      <c r="K18" s="462" t="str">
        <f>IF(_xlfn.IFNA(VLOOKUP(ROW()-9,DAWorkings!$AT:$BI,13,FALSE),"")=0,"",_xlfn.IFNA(VLOOKUP(ROW()-9,DAWorkings!$AT:$BI,13,FALSE),""))</f>
        <v/>
      </c>
      <c r="L18" s="462" t="str">
        <f>IF(_xlfn.IFNA(VLOOKUP(ROW()-9,DAWorkings!$AT:$BI,10,FALSE),"")=0,"",_xlfn.IFNA(VLOOKUP(ROW()-9,DAWorkings!$AT:$BI,10,FALSE),""))</f>
        <v/>
      </c>
      <c r="M18" s="462" t="str">
        <f>IF(_xlfn.IFNA(VLOOKUP(ROW()-9,DAWorkings!$AT:$BI,10,FALSE),"")=0,"",_xlfn.IFNA(VLOOKUP(ROW()-9,DAWorkings!$AT:$BI,14,FALSE),""))</f>
        <v/>
      </c>
      <c r="N18" s="462" t="str">
        <f>_xlfn.IFNA(INDEX('Retention Schedule'!K:N,MATCH(VLOOKUP(ROW()-9,DAWorkings!$AT:$BI,11,FALSE),'Retention Schedule'!N:N,0),1),"")</f>
        <v/>
      </c>
      <c r="O18" s="462" t="str">
        <f>_xlfn.IFNA(VLOOKUP(ROW()-9,DAWorkings!$AT:$BI,15,FALSE),"")&amp;_xlfn.IFNA(IF(AND(VLOOKUP(ROW()-9,DAWorkings!$AT:$BJ,17,FALSE)="Yes(2)",VLOOKUP(ROW()-9,DAWorkings!$AT:$BI,15,FALSE)="Yes(1)")," &amp; ",""),"")&amp;IF(_xlfn.IFNA(VLOOKUP(ROW()-9,DAWorkings!$AT:$BJ,17,FALSE),"")=0,"",_xlfn.IFNA(VLOOKUP(ROW()-9,DAWorkings!$AT:$BJ,17,FALSE),""))</f>
        <v/>
      </c>
      <c r="P18" s="291" t="str">
        <f>IF(_xlfn.IFNA(VLOOKUP(ROW()-9,DAWorkings!$AT:$BI,10,FALSE),"")=0,"",_xlfn.IFNA(VLOOKUP(ROW()-9,DAWorkings!$AT:$BI,16,FALSE),""))</f>
        <v/>
      </c>
    </row>
    <row r="19" spans="1:16">
      <c r="A19" s="34"/>
      <c r="B19" s="462" t="str">
        <f>IF(_xlfn.IFNA(VLOOKUP(ROW()-9,DAWorkings!$AT:$BI,2,FALSE),"")=0,"",_xlfn.IFNA(VLOOKUP(ROW()-9,DAWorkings!$AT:$BI,2,FALSE),""))</f>
        <v/>
      </c>
      <c r="C19" s="462" t="str">
        <f>_xlfn.IFNA(VLOOKUP(ROW()-9,DAWorkings!$AT:$BI,5,FALSE),"")</f>
        <v/>
      </c>
      <c r="D19" s="462" t="str">
        <f>_xlfn.IFNA(VLOOKUP(ROW()-9,DAWorkings!$AT:$BI,6,FALSE),"")</f>
        <v/>
      </c>
      <c r="E19" s="462" t="str">
        <f>_xlfn.IFNA(VLOOKUP(ROW()-9,DAWorkings!$AT:$BI,3,FALSE),"")</f>
        <v/>
      </c>
      <c r="F19" s="462" t="str">
        <f>_xlfn.IFNA(VLOOKUP((VLOOKUP(ROW()-9,DAWorkings!$AT:$BI,4,FALSE)),DAWorkings!$AU$3:$AV$6,2,FALSE),"")</f>
        <v/>
      </c>
      <c r="G19" s="462" t="str">
        <f>_xlfn.IFNA(VLOOKUP(ROW()-9,DAWorkings!$AT:$BI,9,FALSE),"")</f>
        <v/>
      </c>
      <c r="H19" s="462" t="str">
        <f>_xlfn.IFNA(VLOOKUP(ROW()-9,DAWorkings!$AT:$BI,7,FALSE),"")</f>
        <v/>
      </c>
      <c r="I19" s="462" t="str">
        <f>IF(_xlfn.IFNA(VLOOKUP(ROW()-9,DAWorkings!$AT:$BI,8,FALSE),"")=0,"",_xlfn.IFNA(VLOOKUP(ROW()-9,DAWorkings!$AT:$BI,8,FALSE),""))</f>
        <v/>
      </c>
      <c r="J19" s="462" t="str">
        <f>IF(_xlfn.IFNA(VLOOKUP(ROW()-9,DAWorkings!$AT:$BI,12,FALSE),"")=0,"",_xlfn.IFNA(VLOOKUP(ROW()-9,DAWorkings!$AT:$BI,12,FALSE),""))</f>
        <v/>
      </c>
      <c r="K19" s="462" t="str">
        <f>IF(_xlfn.IFNA(VLOOKUP(ROW()-9,DAWorkings!$AT:$BI,13,FALSE),"")=0,"",_xlfn.IFNA(VLOOKUP(ROW()-9,DAWorkings!$AT:$BI,13,FALSE),""))</f>
        <v/>
      </c>
      <c r="L19" s="462" t="str">
        <f>IF(_xlfn.IFNA(VLOOKUP(ROW()-9,DAWorkings!$AT:$BI,10,FALSE),"")=0,"",_xlfn.IFNA(VLOOKUP(ROW()-9,DAWorkings!$AT:$BI,10,FALSE),""))</f>
        <v/>
      </c>
      <c r="M19" s="462" t="str">
        <f>IF(_xlfn.IFNA(VLOOKUP(ROW()-9,DAWorkings!$AT:$BI,10,FALSE),"")=0,"",_xlfn.IFNA(VLOOKUP(ROW()-9,DAWorkings!$AT:$BI,14,FALSE),""))</f>
        <v/>
      </c>
      <c r="N19" s="462" t="str">
        <f>_xlfn.IFNA(INDEX('Retention Schedule'!K:N,MATCH(VLOOKUP(ROW()-9,DAWorkings!$AT:$BI,11,FALSE),'Retention Schedule'!N:N,0),1),"")</f>
        <v/>
      </c>
      <c r="O19" s="462" t="str">
        <f>_xlfn.IFNA(VLOOKUP(ROW()-9,DAWorkings!$AT:$BI,15,FALSE),"")&amp;_xlfn.IFNA(IF(AND(VLOOKUP(ROW()-9,DAWorkings!$AT:$BJ,17,FALSE)="Yes(2)",VLOOKUP(ROW()-9,DAWorkings!$AT:$BI,15,FALSE)="Yes(1)")," &amp; ",""),"")&amp;IF(_xlfn.IFNA(VLOOKUP(ROW()-9,DAWorkings!$AT:$BJ,17,FALSE),"")=0,"",_xlfn.IFNA(VLOOKUP(ROW()-9,DAWorkings!$AT:$BJ,17,FALSE),""))</f>
        <v/>
      </c>
      <c r="P19" s="291" t="str">
        <f>IF(_xlfn.IFNA(VLOOKUP(ROW()-9,DAWorkings!$AT:$BI,10,FALSE),"")=0,"",_xlfn.IFNA(VLOOKUP(ROW()-9,DAWorkings!$AT:$BI,16,FALSE),""))</f>
        <v/>
      </c>
    </row>
    <row r="20" spans="1:16">
      <c r="A20" s="34"/>
      <c r="B20" s="462" t="str">
        <f>IF(_xlfn.IFNA(VLOOKUP(ROW()-9,DAWorkings!$AT:$BI,2,FALSE),"")=0,"",_xlfn.IFNA(VLOOKUP(ROW()-9,DAWorkings!$AT:$BI,2,FALSE),""))</f>
        <v/>
      </c>
      <c r="C20" s="462" t="str">
        <f>_xlfn.IFNA(VLOOKUP(ROW()-9,DAWorkings!$AT:$BI,5,FALSE),"")</f>
        <v/>
      </c>
      <c r="D20" s="462" t="str">
        <f>_xlfn.IFNA(VLOOKUP(ROW()-9,DAWorkings!$AT:$BI,6,FALSE),"")</f>
        <v/>
      </c>
      <c r="E20" s="462" t="str">
        <f>_xlfn.IFNA(VLOOKUP(ROW()-9,DAWorkings!$AT:$BI,3,FALSE),"")</f>
        <v/>
      </c>
      <c r="F20" s="462" t="str">
        <f>_xlfn.IFNA(VLOOKUP((VLOOKUP(ROW()-9,DAWorkings!$AT:$BI,4,FALSE)),DAWorkings!$AU$3:$AV$6,2,FALSE),"")</f>
        <v/>
      </c>
      <c r="G20" s="462" t="str">
        <f>_xlfn.IFNA(VLOOKUP(ROW()-9,DAWorkings!$AT:$BI,9,FALSE),"")</f>
        <v/>
      </c>
      <c r="H20" s="462" t="str">
        <f>_xlfn.IFNA(VLOOKUP(ROW()-9,DAWorkings!$AT:$BI,7,FALSE),"")</f>
        <v/>
      </c>
      <c r="I20" s="462" t="str">
        <f>IF(_xlfn.IFNA(VLOOKUP(ROW()-9,DAWorkings!$AT:$BI,8,FALSE),"")=0,"",_xlfn.IFNA(VLOOKUP(ROW()-9,DAWorkings!$AT:$BI,8,FALSE),""))</f>
        <v/>
      </c>
      <c r="J20" s="462" t="str">
        <f>IF(_xlfn.IFNA(VLOOKUP(ROW()-9,DAWorkings!$AT:$BI,12,FALSE),"")=0,"",_xlfn.IFNA(VLOOKUP(ROW()-9,DAWorkings!$AT:$BI,12,FALSE),""))</f>
        <v/>
      </c>
      <c r="K20" s="462" t="str">
        <f>IF(_xlfn.IFNA(VLOOKUP(ROW()-9,DAWorkings!$AT:$BI,13,FALSE),"")=0,"",_xlfn.IFNA(VLOOKUP(ROW()-9,DAWorkings!$AT:$BI,13,FALSE),""))</f>
        <v/>
      </c>
      <c r="L20" s="462" t="str">
        <f>IF(_xlfn.IFNA(VLOOKUP(ROW()-9,DAWorkings!$AT:$BI,10,FALSE),"")=0,"",_xlfn.IFNA(VLOOKUP(ROW()-9,DAWorkings!$AT:$BI,10,FALSE),""))</f>
        <v/>
      </c>
      <c r="M20" s="462" t="str">
        <f>IF(_xlfn.IFNA(VLOOKUP(ROW()-9,DAWorkings!$AT:$BI,10,FALSE),"")=0,"",_xlfn.IFNA(VLOOKUP(ROW()-9,DAWorkings!$AT:$BI,14,FALSE),""))</f>
        <v/>
      </c>
      <c r="N20" s="462" t="str">
        <f>_xlfn.IFNA(INDEX('Retention Schedule'!K:N,MATCH(VLOOKUP(ROW()-9,DAWorkings!$AT:$BI,11,FALSE),'Retention Schedule'!N:N,0),1),"")</f>
        <v/>
      </c>
      <c r="O20" s="462" t="str">
        <f>_xlfn.IFNA(VLOOKUP(ROW()-9,DAWorkings!$AT:$BI,15,FALSE),"")&amp;_xlfn.IFNA(IF(AND(VLOOKUP(ROW()-9,DAWorkings!$AT:$BJ,17,FALSE)="Yes(2)",VLOOKUP(ROW()-9,DAWorkings!$AT:$BI,15,FALSE)="Yes(1)")," &amp; ",""),"")&amp;IF(_xlfn.IFNA(VLOOKUP(ROW()-9,DAWorkings!$AT:$BJ,17,FALSE),"")=0,"",_xlfn.IFNA(VLOOKUP(ROW()-9,DAWorkings!$AT:$BJ,17,FALSE),""))</f>
        <v/>
      </c>
      <c r="P20" s="291" t="str">
        <f>IF(_xlfn.IFNA(VLOOKUP(ROW()-9,DAWorkings!$AT:$BI,10,FALSE),"")=0,"",_xlfn.IFNA(VLOOKUP(ROW()-9,DAWorkings!$AT:$BI,16,FALSE),""))</f>
        <v/>
      </c>
    </row>
    <row r="21" spans="1:16">
      <c r="A21" s="34"/>
      <c r="B21" s="462" t="str">
        <f>IF(_xlfn.IFNA(VLOOKUP(ROW()-9,DAWorkings!$AT:$BI,2,FALSE),"")=0,"",_xlfn.IFNA(VLOOKUP(ROW()-9,DAWorkings!$AT:$BI,2,FALSE),""))</f>
        <v/>
      </c>
      <c r="C21" s="462" t="str">
        <f>_xlfn.IFNA(VLOOKUP(ROW()-9,DAWorkings!$AT:$BI,5,FALSE),"")</f>
        <v/>
      </c>
      <c r="D21" s="462" t="str">
        <f>_xlfn.IFNA(VLOOKUP(ROW()-9,DAWorkings!$AT:$BI,6,FALSE),"")</f>
        <v/>
      </c>
      <c r="E21" s="462" t="str">
        <f>_xlfn.IFNA(VLOOKUP(ROW()-9,DAWorkings!$AT:$BI,3,FALSE),"")</f>
        <v/>
      </c>
      <c r="F21" s="462" t="str">
        <f>_xlfn.IFNA(VLOOKUP((VLOOKUP(ROW()-9,DAWorkings!$AT:$BI,4,FALSE)),DAWorkings!$AU$3:$AV$6,2,FALSE),"")</f>
        <v/>
      </c>
      <c r="G21" s="462" t="str">
        <f>_xlfn.IFNA(VLOOKUP(ROW()-9,DAWorkings!$AT:$BI,9,FALSE),"")</f>
        <v/>
      </c>
      <c r="H21" s="462" t="str">
        <f>_xlfn.IFNA(VLOOKUP(ROW()-9,DAWorkings!$AT:$BI,7,FALSE),"")</f>
        <v/>
      </c>
      <c r="I21" s="462" t="str">
        <f>IF(_xlfn.IFNA(VLOOKUP(ROW()-9,DAWorkings!$AT:$BI,8,FALSE),"")=0,"",_xlfn.IFNA(VLOOKUP(ROW()-9,DAWorkings!$AT:$BI,8,FALSE),""))</f>
        <v/>
      </c>
      <c r="J21" s="462" t="str">
        <f>IF(_xlfn.IFNA(VLOOKUP(ROW()-9,DAWorkings!$AT:$BI,12,FALSE),"")=0,"",_xlfn.IFNA(VLOOKUP(ROW()-9,DAWorkings!$AT:$BI,12,FALSE),""))</f>
        <v/>
      </c>
      <c r="K21" s="462" t="str">
        <f>IF(_xlfn.IFNA(VLOOKUP(ROW()-9,DAWorkings!$AT:$BI,13,FALSE),"")=0,"",_xlfn.IFNA(VLOOKUP(ROW()-9,DAWorkings!$AT:$BI,13,FALSE),""))</f>
        <v/>
      </c>
      <c r="L21" s="462" t="str">
        <f>IF(_xlfn.IFNA(VLOOKUP(ROW()-9,DAWorkings!$AT:$BI,10,FALSE),"")=0,"",_xlfn.IFNA(VLOOKUP(ROW()-9,DAWorkings!$AT:$BI,10,FALSE),""))</f>
        <v/>
      </c>
      <c r="M21" s="462" t="str">
        <f>IF(_xlfn.IFNA(VLOOKUP(ROW()-9,DAWorkings!$AT:$BI,10,FALSE),"")=0,"",_xlfn.IFNA(VLOOKUP(ROW()-9,DAWorkings!$AT:$BI,14,FALSE),""))</f>
        <v/>
      </c>
      <c r="N21" s="462" t="str">
        <f>_xlfn.IFNA(INDEX('Retention Schedule'!K:N,MATCH(VLOOKUP(ROW()-9,DAWorkings!$AT:$BI,11,FALSE),'Retention Schedule'!N:N,0),1),"")</f>
        <v/>
      </c>
      <c r="O21" s="462" t="str">
        <f>_xlfn.IFNA(VLOOKUP(ROW()-9,DAWorkings!$AT:$BI,15,FALSE),"")&amp;_xlfn.IFNA(IF(AND(VLOOKUP(ROW()-9,DAWorkings!$AT:$BJ,17,FALSE)="Yes(2)",VLOOKUP(ROW()-9,DAWorkings!$AT:$BI,15,FALSE)="Yes(1)")," &amp; ",""),"")&amp;IF(_xlfn.IFNA(VLOOKUP(ROW()-9,DAWorkings!$AT:$BJ,17,FALSE),"")=0,"",_xlfn.IFNA(VLOOKUP(ROW()-9,DAWorkings!$AT:$BJ,17,FALSE),""))</f>
        <v/>
      </c>
      <c r="P21" s="291" t="str">
        <f>IF(_xlfn.IFNA(VLOOKUP(ROW()-9,DAWorkings!$AT:$BI,10,FALSE),"")=0,"",_xlfn.IFNA(VLOOKUP(ROW()-9,DAWorkings!$AT:$BI,16,FALSE),""))</f>
        <v/>
      </c>
    </row>
    <row r="22" spans="1:16">
      <c r="A22" s="34"/>
      <c r="B22" s="462" t="str">
        <f>IF(_xlfn.IFNA(VLOOKUP(ROW()-9,DAWorkings!$AT:$BI,2,FALSE),"")=0,"",_xlfn.IFNA(VLOOKUP(ROW()-9,DAWorkings!$AT:$BI,2,FALSE),""))</f>
        <v/>
      </c>
      <c r="C22" s="462" t="str">
        <f>_xlfn.IFNA(VLOOKUP(ROW()-9,DAWorkings!$AT:$BI,5,FALSE),"")</f>
        <v/>
      </c>
      <c r="D22" s="462" t="str">
        <f>_xlfn.IFNA(VLOOKUP(ROW()-9,DAWorkings!$AT:$BI,6,FALSE),"")</f>
        <v/>
      </c>
      <c r="E22" s="462" t="str">
        <f>_xlfn.IFNA(VLOOKUP(ROW()-9,DAWorkings!$AT:$BI,3,FALSE),"")</f>
        <v/>
      </c>
      <c r="F22" s="462" t="str">
        <f>_xlfn.IFNA(VLOOKUP((VLOOKUP(ROW()-9,DAWorkings!$AT:$BI,4,FALSE)),DAWorkings!$AU$3:$AV$6,2,FALSE),"")</f>
        <v/>
      </c>
      <c r="G22" s="462" t="str">
        <f>_xlfn.IFNA(VLOOKUP(ROW()-9,DAWorkings!$AT:$BI,9,FALSE),"")</f>
        <v/>
      </c>
      <c r="H22" s="462" t="str">
        <f>_xlfn.IFNA(VLOOKUP(ROW()-9,DAWorkings!$AT:$BI,7,FALSE),"")</f>
        <v/>
      </c>
      <c r="I22" s="462" t="str">
        <f>IF(_xlfn.IFNA(VLOOKUP(ROW()-9,DAWorkings!$AT:$BI,8,FALSE),"")=0,"",_xlfn.IFNA(VLOOKUP(ROW()-9,DAWorkings!$AT:$BI,8,FALSE),""))</f>
        <v/>
      </c>
      <c r="J22" s="462" t="str">
        <f>IF(_xlfn.IFNA(VLOOKUP(ROW()-9,DAWorkings!$AT:$BI,12,FALSE),"")=0,"",_xlfn.IFNA(VLOOKUP(ROW()-9,DAWorkings!$AT:$BI,12,FALSE),""))</f>
        <v/>
      </c>
      <c r="K22" s="462" t="str">
        <f>IF(_xlfn.IFNA(VLOOKUP(ROW()-9,DAWorkings!$AT:$BI,13,FALSE),"")=0,"",_xlfn.IFNA(VLOOKUP(ROW()-9,DAWorkings!$AT:$BI,13,FALSE),""))</f>
        <v/>
      </c>
      <c r="L22" s="462" t="str">
        <f>IF(_xlfn.IFNA(VLOOKUP(ROW()-9,DAWorkings!$AT:$BI,10,FALSE),"")=0,"",_xlfn.IFNA(VLOOKUP(ROW()-9,DAWorkings!$AT:$BI,10,FALSE),""))</f>
        <v/>
      </c>
      <c r="M22" s="462" t="str">
        <f>IF(_xlfn.IFNA(VLOOKUP(ROW()-9,DAWorkings!$AT:$BI,10,FALSE),"")=0,"",_xlfn.IFNA(VLOOKUP(ROW()-9,DAWorkings!$AT:$BI,14,FALSE),""))</f>
        <v/>
      </c>
      <c r="N22" s="462" t="str">
        <f>_xlfn.IFNA(INDEX('Retention Schedule'!K:N,MATCH(VLOOKUP(ROW()-9,DAWorkings!$AT:$BI,11,FALSE),'Retention Schedule'!N:N,0),1),"")</f>
        <v/>
      </c>
      <c r="O22" s="462" t="str">
        <f>_xlfn.IFNA(VLOOKUP(ROW()-9,DAWorkings!$AT:$BI,15,FALSE),"")&amp;_xlfn.IFNA(IF(AND(VLOOKUP(ROW()-9,DAWorkings!$AT:$BJ,17,FALSE)="Yes(2)",VLOOKUP(ROW()-9,DAWorkings!$AT:$BI,15,FALSE)="Yes(1)")," &amp; ",""),"")&amp;IF(_xlfn.IFNA(VLOOKUP(ROW()-9,DAWorkings!$AT:$BJ,17,FALSE),"")=0,"",_xlfn.IFNA(VLOOKUP(ROW()-9,DAWorkings!$AT:$BJ,17,FALSE),""))</f>
        <v/>
      </c>
      <c r="P22" s="291" t="str">
        <f>IF(_xlfn.IFNA(VLOOKUP(ROW()-9,DAWorkings!$AT:$BI,10,FALSE),"")=0,"",_xlfn.IFNA(VLOOKUP(ROW()-9,DAWorkings!$AT:$BI,16,FALSE),""))</f>
        <v/>
      </c>
    </row>
    <row r="23" spans="1:16">
      <c r="A23" s="34"/>
      <c r="B23" s="462" t="str">
        <f>IF(_xlfn.IFNA(VLOOKUP(ROW()-9,DAWorkings!$AT:$BI,2,FALSE),"")=0,"",_xlfn.IFNA(VLOOKUP(ROW()-9,DAWorkings!$AT:$BI,2,FALSE),""))</f>
        <v/>
      </c>
      <c r="C23" s="462" t="str">
        <f>_xlfn.IFNA(VLOOKUP(ROW()-9,DAWorkings!$AT:$BI,5,FALSE),"")</f>
        <v/>
      </c>
      <c r="D23" s="462" t="str">
        <f>_xlfn.IFNA(VLOOKUP(ROW()-9,DAWorkings!$AT:$BI,6,FALSE),"")</f>
        <v/>
      </c>
      <c r="E23" s="462" t="str">
        <f>_xlfn.IFNA(VLOOKUP(ROW()-9,DAWorkings!$AT:$BI,3,FALSE),"")</f>
        <v/>
      </c>
      <c r="F23" s="462" t="str">
        <f>_xlfn.IFNA(VLOOKUP((VLOOKUP(ROW()-9,DAWorkings!$AT:$BI,4,FALSE)),DAWorkings!$AU$3:$AV$6,2,FALSE),"")</f>
        <v/>
      </c>
      <c r="G23" s="462" t="str">
        <f>_xlfn.IFNA(VLOOKUP(ROW()-9,DAWorkings!$AT:$BI,9,FALSE),"")</f>
        <v/>
      </c>
      <c r="H23" s="462" t="str">
        <f>_xlfn.IFNA(VLOOKUP(ROW()-9,DAWorkings!$AT:$BI,7,FALSE),"")</f>
        <v/>
      </c>
      <c r="I23" s="462" t="str">
        <f>IF(_xlfn.IFNA(VLOOKUP(ROW()-9,DAWorkings!$AT:$BI,8,FALSE),"")=0,"",_xlfn.IFNA(VLOOKUP(ROW()-9,DAWorkings!$AT:$BI,8,FALSE),""))</f>
        <v/>
      </c>
      <c r="J23" s="462" t="str">
        <f>IF(_xlfn.IFNA(VLOOKUP(ROW()-9,DAWorkings!$AT:$BI,12,FALSE),"")=0,"",_xlfn.IFNA(VLOOKUP(ROW()-9,DAWorkings!$AT:$BI,12,FALSE),""))</f>
        <v/>
      </c>
      <c r="K23" s="462" t="str">
        <f>IF(_xlfn.IFNA(VLOOKUP(ROW()-9,DAWorkings!$AT:$BI,13,FALSE),"")=0,"",_xlfn.IFNA(VLOOKUP(ROW()-9,DAWorkings!$AT:$BI,13,FALSE),""))</f>
        <v/>
      </c>
      <c r="L23" s="462" t="str">
        <f>IF(_xlfn.IFNA(VLOOKUP(ROW()-9,DAWorkings!$AT:$BI,10,FALSE),"")=0,"",_xlfn.IFNA(VLOOKUP(ROW()-9,DAWorkings!$AT:$BI,10,FALSE),""))</f>
        <v/>
      </c>
      <c r="M23" s="462" t="str">
        <f>IF(_xlfn.IFNA(VLOOKUP(ROW()-9,DAWorkings!$AT:$BI,10,FALSE),"")=0,"",_xlfn.IFNA(VLOOKUP(ROW()-9,DAWorkings!$AT:$BI,14,FALSE),""))</f>
        <v/>
      </c>
      <c r="N23" s="462" t="str">
        <f>_xlfn.IFNA(INDEX('Retention Schedule'!K:N,MATCH(VLOOKUP(ROW()-9,DAWorkings!$AT:$BI,11,FALSE),'Retention Schedule'!N:N,0),1),"")</f>
        <v/>
      </c>
      <c r="O23" s="462" t="str">
        <f>_xlfn.IFNA(VLOOKUP(ROW()-9,DAWorkings!$AT:$BI,15,FALSE),"")&amp;_xlfn.IFNA(IF(AND(VLOOKUP(ROW()-9,DAWorkings!$AT:$BJ,17,FALSE)="Yes(2)",VLOOKUP(ROW()-9,DAWorkings!$AT:$BI,15,FALSE)="Yes(1)")," &amp; ",""),"")&amp;IF(_xlfn.IFNA(VLOOKUP(ROW()-9,DAWorkings!$AT:$BJ,17,FALSE),"")=0,"",_xlfn.IFNA(VLOOKUP(ROW()-9,DAWorkings!$AT:$BJ,17,FALSE),""))</f>
        <v/>
      </c>
      <c r="P23" s="291" t="str">
        <f>IF(_xlfn.IFNA(VLOOKUP(ROW()-9,DAWorkings!$AT:$BI,10,FALSE),"")=0,"",_xlfn.IFNA(VLOOKUP(ROW()-9,DAWorkings!$AT:$BI,16,FALSE),""))</f>
        <v/>
      </c>
    </row>
    <row r="24" spans="1:16">
      <c r="A24" s="34"/>
      <c r="B24" s="462" t="str">
        <f>IF(_xlfn.IFNA(VLOOKUP(ROW()-9,DAWorkings!$AT:$BI,2,FALSE),"")=0,"",_xlfn.IFNA(VLOOKUP(ROW()-9,DAWorkings!$AT:$BI,2,FALSE),""))</f>
        <v/>
      </c>
      <c r="C24" s="462" t="str">
        <f>_xlfn.IFNA(VLOOKUP(ROW()-9,DAWorkings!$AT:$BI,5,FALSE),"")</f>
        <v/>
      </c>
      <c r="D24" s="462" t="str">
        <f>_xlfn.IFNA(VLOOKUP(ROW()-9,DAWorkings!$AT:$BI,6,FALSE),"")</f>
        <v/>
      </c>
      <c r="E24" s="462" t="str">
        <f>_xlfn.IFNA(VLOOKUP(ROW()-9,DAWorkings!$AT:$BI,3,FALSE),"")</f>
        <v/>
      </c>
      <c r="F24" s="462" t="str">
        <f>_xlfn.IFNA(VLOOKUP((VLOOKUP(ROW()-9,DAWorkings!$AT:$BI,4,FALSE)),DAWorkings!$AU$3:$AV$6,2,FALSE),"")</f>
        <v/>
      </c>
      <c r="G24" s="462" t="str">
        <f>_xlfn.IFNA(VLOOKUP(ROW()-9,DAWorkings!$AT:$BI,9,FALSE),"")</f>
        <v/>
      </c>
      <c r="H24" s="462" t="str">
        <f>_xlfn.IFNA(VLOOKUP(ROW()-9,DAWorkings!$AT:$BI,7,FALSE),"")</f>
        <v/>
      </c>
      <c r="I24" s="462" t="str">
        <f>IF(_xlfn.IFNA(VLOOKUP(ROW()-9,DAWorkings!$AT:$BI,8,FALSE),"")=0,"",_xlfn.IFNA(VLOOKUP(ROW()-9,DAWorkings!$AT:$BI,8,FALSE),""))</f>
        <v/>
      </c>
      <c r="J24" s="462" t="str">
        <f>IF(_xlfn.IFNA(VLOOKUP(ROW()-9,DAWorkings!$AT:$BI,12,FALSE),"")=0,"",_xlfn.IFNA(VLOOKUP(ROW()-9,DAWorkings!$AT:$BI,12,FALSE),""))</f>
        <v/>
      </c>
      <c r="K24" s="462" t="str">
        <f>IF(_xlfn.IFNA(VLOOKUP(ROW()-9,DAWorkings!$AT:$BI,13,FALSE),"")=0,"",_xlfn.IFNA(VLOOKUP(ROW()-9,DAWorkings!$AT:$BI,13,FALSE),""))</f>
        <v/>
      </c>
      <c r="L24" s="462" t="str">
        <f>IF(_xlfn.IFNA(VLOOKUP(ROW()-9,DAWorkings!$AT:$BI,10,FALSE),"")=0,"",_xlfn.IFNA(VLOOKUP(ROW()-9,DAWorkings!$AT:$BI,10,FALSE),""))</f>
        <v/>
      </c>
      <c r="M24" s="462" t="str">
        <f>IF(_xlfn.IFNA(VLOOKUP(ROW()-9,DAWorkings!$AT:$BI,10,FALSE),"")=0,"",_xlfn.IFNA(VLOOKUP(ROW()-9,DAWorkings!$AT:$BI,14,FALSE),""))</f>
        <v/>
      </c>
      <c r="N24" s="462" t="str">
        <f>_xlfn.IFNA(INDEX('Retention Schedule'!K:N,MATCH(VLOOKUP(ROW()-9,DAWorkings!$AT:$BI,11,FALSE),'Retention Schedule'!N:N,0),1),"")</f>
        <v/>
      </c>
      <c r="O24" s="462" t="str">
        <f>_xlfn.IFNA(VLOOKUP(ROW()-9,DAWorkings!$AT:$BI,15,FALSE),"")&amp;_xlfn.IFNA(IF(AND(VLOOKUP(ROW()-9,DAWorkings!$AT:$BJ,17,FALSE)="Yes(2)",VLOOKUP(ROW()-9,DAWorkings!$AT:$BI,15,FALSE)="Yes(1)")," &amp; ",""),"")&amp;IF(_xlfn.IFNA(VLOOKUP(ROW()-9,DAWorkings!$AT:$BJ,17,FALSE),"")=0,"",_xlfn.IFNA(VLOOKUP(ROW()-9,DAWorkings!$AT:$BJ,17,FALSE),""))</f>
        <v/>
      </c>
      <c r="P24" s="291" t="str">
        <f>IF(_xlfn.IFNA(VLOOKUP(ROW()-9,DAWorkings!$AT:$BI,10,FALSE),"")=0,"",_xlfn.IFNA(VLOOKUP(ROW()-9,DAWorkings!$AT:$BI,16,FALSE),""))</f>
        <v/>
      </c>
    </row>
    <row r="25" spans="1:16">
      <c r="A25" s="34"/>
      <c r="B25" s="462" t="str">
        <f>IF(_xlfn.IFNA(VLOOKUP(ROW()-9,DAWorkings!$AT:$BI,2,FALSE),"")=0,"",_xlfn.IFNA(VLOOKUP(ROW()-9,DAWorkings!$AT:$BI,2,FALSE),""))</f>
        <v/>
      </c>
      <c r="C25" s="462" t="str">
        <f>_xlfn.IFNA(VLOOKUP(ROW()-9,DAWorkings!$AT:$BI,5,FALSE),"")</f>
        <v/>
      </c>
      <c r="D25" s="462" t="str">
        <f>_xlfn.IFNA(VLOOKUP(ROW()-9,DAWorkings!$AT:$BI,6,FALSE),"")</f>
        <v/>
      </c>
      <c r="E25" s="462" t="str">
        <f>_xlfn.IFNA(VLOOKUP(ROW()-9,DAWorkings!$AT:$BI,3,FALSE),"")</f>
        <v/>
      </c>
      <c r="F25" s="462" t="str">
        <f>_xlfn.IFNA(VLOOKUP((VLOOKUP(ROW()-9,DAWorkings!$AT:$BI,4,FALSE)),DAWorkings!$AU$3:$AV$6,2,FALSE),"")</f>
        <v/>
      </c>
      <c r="G25" s="462" t="str">
        <f>_xlfn.IFNA(VLOOKUP(ROW()-9,DAWorkings!$AT:$BI,9,FALSE),"")</f>
        <v/>
      </c>
      <c r="H25" s="462" t="str">
        <f>_xlfn.IFNA(VLOOKUP(ROW()-9,DAWorkings!$AT:$BI,7,FALSE),"")</f>
        <v/>
      </c>
      <c r="I25" s="462" t="str">
        <f>IF(_xlfn.IFNA(VLOOKUP(ROW()-9,DAWorkings!$AT:$BI,8,FALSE),"")=0,"",_xlfn.IFNA(VLOOKUP(ROW()-9,DAWorkings!$AT:$BI,8,FALSE),""))</f>
        <v/>
      </c>
      <c r="J25" s="462" t="str">
        <f>IF(_xlfn.IFNA(VLOOKUP(ROW()-9,DAWorkings!$AT:$BI,12,FALSE),"")=0,"",_xlfn.IFNA(VLOOKUP(ROW()-9,DAWorkings!$AT:$BI,12,FALSE),""))</f>
        <v/>
      </c>
      <c r="K25" s="462" t="str">
        <f>IF(_xlfn.IFNA(VLOOKUP(ROW()-9,DAWorkings!$AT:$BI,13,FALSE),"")=0,"",_xlfn.IFNA(VLOOKUP(ROW()-9,DAWorkings!$AT:$BI,13,FALSE),""))</f>
        <v/>
      </c>
      <c r="L25" s="462" t="str">
        <f>IF(_xlfn.IFNA(VLOOKUP(ROW()-9,DAWorkings!$AT:$BI,10,FALSE),"")=0,"",_xlfn.IFNA(VLOOKUP(ROW()-9,DAWorkings!$AT:$BI,10,FALSE),""))</f>
        <v/>
      </c>
      <c r="M25" s="462" t="str">
        <f>IF(_xlfn.IFNA(VLOOKUP(ROW()-9,DAWorkings!$AT:$BI,10,FALSE),"")=0,"",_xlfn.IFNA(VLOOKUP(ROW()-9,DAWorkings!$AT:$BI,14,FALSE),""))</f>
        <v/>
      </c>
      <c r="N25" s="462" t="str">
        <f>_xlfn.IFNA(INDEX('Retention Schedule'!K:N,MATCH(VLOOKUP(ROW()-9,DAWorkings!$AT:$BI,11,FALSE),'Retention Schedule'!N:N,0),1),"")</f>
        <v/>
      </c>
      <c r="O25" s="462" t="str">
        <f>_xlfn.IFNA(VLOOKUP(ROW()-9,DAWorkings!$AT:$BI,15,FALSE),"")&amp;_xlfn.IFNA(IF(AND(VLOOKUP(ROW()-9,DAWorkings!$AT:$BJ,17,FALSE)="Yes(2)",VLOOKUP(ROW()-9,DAWorkings!$AT:$BI,15,FALSE)="Yes(1)")," &amp; ",""),"")&amp;IF(_xlfn.IFNA(VLOOKUP(ROW()-9,DAWorkings!$AT:$BJ,17,FALSE),"")=0,"",_xlfn.IFNA(VLOOKUP(ROW()-9,DAWorkings!$AT:$BJ,17,FALSE),""))</f>
        <v/>
      </c>
      <c r="P25" s="291" t="str">
        <f>IF(_xlfn.IFNA(VLOOKUP(ROW()-9,DAWorkings!$AT:$BI,10,FALSE),"")=0,"",_xlfn.IFNA(VLOOKUP(ROW()-9,DAWorkings!$AT:$BI,16,FALSE),""))</f>
        <v/>
      </c>
    </row>
    <row r="26" spans="1:16">
      <c r="A26" s="34"/>
      <c r="B26" s="462" t="str">
        <f>IF(_xlfn.IFNA(VLOOKUP(ROW()-9,DAWorkings!$AT:$BI,2,FALSE),"")=0,"",_xlfn.IFNA(VLOOKUP(ROW()-9,DAWorkings!$AT:$BI,2,FALSE),""))</f>
        <v/>
      </c>
      <c r="C26" s="462" t="str">
        <f>_xlfn.IFNA(VLOOKUP(ROW()-9,DAWorkings!$AT:$BI,5,FALSE),"")</f>
        <v/>
      </c>
      <c r="D26" s="462" t="str">
        <f>_xlfn.IFNA(VLOOKUP(ROW()-9,DAWorkings!$AT:$BI,6,FALSE),"")</f>
        <v/>
      </c>
      <c r="E26" s="462" t="str">
        <f>_xlfn.IFNA(VLOOKUP(ROW()-9,DAWorkings!$AT:$BI,3,FALSE),"")</f>
        <v/>
      </c>
      <c r="F26" s="462" t="str">
        <f>_xlfn.IFNA(VLOOKUP((VLOOKUP(ROW()-9,DAWorkings!$AT:$BI,4,FALSE)),DAWorkings!$AU$3:$AV$6,2,FALSE),"")</f>
        <v/>
      </c>
      <c r="G26" s="462" t="str">
        <f>_xlfn.IFNA(VLOOKUP(ROW()-9,DAWorkings!$AT:$BI,9,FALSE),"")</f>
        <v/>
      </c>
      <c r="H26" s="462" t="str">
        <f>_xlfn.IFNA(VLOOKUP(ROW()-9,DAWorkings!$AT:$BI,7,FALSE),"")</f>
        <v/>
      </c>
      <c r="I26" s="462" t="str">
        <f>IF(_xlfn.IFNA(VLOOKUP(ROW()-9,DAWorkings!$AT:$BI,8,FALSE),"")=0,"",_xlfn.IFNA(VLOOKUP(ROW()-9,DAWorkings!$AT:$BI,8,FALSE),""))</f>
        <v/>
      </c>
      <c r="J26" s="462" t="str">
        <f>IF(_xlfn.IFNA(VLOOKUP(ROW()-9,DAWorkings!$AT:$BI,12,FALSE),"")=0,"",_xlfn.IFNA(VLOOKUP(ROW()-9,DAWorkings!$AT:$BI,12,FALSE),""))</f>
        <v/>
      </c>
      <c r="K26" s="462" t="str">
        <f>IF(_xlfn.IFNA(VLOOKUP(ROW()-9,DAWorkings!$AT:$BI,13,FALSE),"")=0,"",_xlfn.IFNA(VLOOKUP(ROW()-9,DAWorkings!$AT:$BI,13,FALSE),""))</f>
        <v/>
      </c>
      <c r="L26" s="462" t="str">
        <f>IF(_xlfn.IFNA(VLOOKUP(ROW()-9,DAWorkings!$AT:$BI,10,FALSE),"")=0,"",_xlfn.IFNA(VLOOKUP(ROW()-9,DAWorkings!$AT:$BI,10,FALSE),""))</f>
        <v/>
      </c>
      <c r="M26" s="462" t="str">
        <f>IF(_xlfn.IFNA(VLOOKUP(ROW()-9,DAWorkings!$AT:$BI,10,FALSE),"")=0,"",_xlfn.IFNA(VLOOKUP(ROW()-9,DAWorkings!$AT:$BI,14,FALSE),""))</f>
        <v/>
      </c>
      <c r="N26" s="462" t="str">
        <f>_xlfn.IFNA(INDEX('Retention Schedule'!K:N,MATCH(VLOOKUP(ROW()-9,DAWorkings!$AT:$BI,11,FALSE),'Retention Schedule'!N:N,0),1),"")</f>
        <v/>
      </c>
      <c r="O26" s="462" t="str">
        <f>_xlfn.IFNA(VLOOKUP(ROW()-9,DAWorkings!$AT:$BI,15,FALSE),"")&amp;_xlfn.IFNA(IF(AND(VLOOKUP(ROW()-9,DAWorkings!$AT:$BJ,17,FALSE)="Yes(2)",VLOOKUP(ROW()-9,DAWorkings!$AT:$BI,15,FALSE)="Yes(1)")," &amp; ",""),"")&amp;IF(_xlfn.IFNA(VLOOKUP(ROW()-9,DAWorkings!$AT:$BJ,17,FALSE),"")=0,"",_xlfn.IFNA(VLOOKUP(ROW()-9,DAWorkings!$AT:$BJ,17,FALSE),""))</f>
        <v/>
      </c>
      <c r="P26" s="291" t="str">
        <f>IF(_xlfn.IFNA(VLOOKUP(ROW()-9,DAWorkings!$AT:$BI,10,FALSE),"")=0,"",_xlfn.IFNA(VLOOKUP(ROW()-9,DAWorkings!$AT:$BI,16,FALSE),""))</f>
        <v/>
      </c>
    </row>
    <row r="27" spans="1:16">
      <c r="A27" s="34"/>
      <c r="B27" s="462" t="str">
        <f>IF(_xlfn.IFNA(VLOOKUP(ROW()-9,DAWorkings!$AT:$BI,2,FALSE),"")=0,"",_xlfn.IFNA(VLOOKUP(ROW()-9,DAWorkings!$AT:$BI,2,FALSE),""))</f>
        <v/>
      </c>
      <c r="C27" s="462" t="str">
        <f>_xlfn.IFNA(VLOOKUP(ROW()-9,DAWorkings!$AT:$BI,5,FALSE),"")</f>
        <v/>
      </c>
      <c r="D27" s="462" t="str">
        <f>_xlfn.IFNA(VLOOKUP(ROW()-9,DAWorkings!$AT:$BI,6,FALSE),"")</f>
        <v/>
      </c>
      <c r="E27" s="462" t="str">
        <f>_xlfn.IFNA(VLOOKUP(ROW()-9,DAWorkings!$AT:$BI,3,FALSE),"")</f>
        <v/>
      </c>
      <c r="F27" s="462" t="str">
        <f>_xlfn.IFNA(VLOOKUP((VLOOKUP(ROW()-9,DAWorkings!$AT:$BI,4,FALSE)),DAWorkings!$AU$3:$AV$6,2,FALSE),"")</f>
        <v/>
      </c>
      <c r="G27" s="462" t="str">
        <f>_xlfn.IFNA(VLOOKUP(ROW()-9,DAWorkings!$AT:$BI,9,FALSE),"")</f>
        <v/>
      </c>
      <c r="H27" s="462" t="str">
        <f>_xlfn.IFNA(VLOOKUP(ROW()-9,DAWorkings!$AT:$BI,7,FALSE),"")</f>
        <v/>
      </c>
      <c r="I27" s="462" t="str">
        <f>IF(_xlfn.IFNA(VLOOKUP(ROW()-9,DAWorkings!$AT:$BI,8,FALSE),"")=0,"",_xlfn.IFNA(VLOOKUP(ROW()-9,DAWorkings!$AT:$BI,8,FALSE),""))</f>
        <v/>
      </c>
      <c r="J27" s="462" t="str">
        <f>IF(_xlfn.IFNA(VLOOKUP(ROW()-9,DAWorkings!$AT:$BI,12,FALSE),"")=0,"",_xlfn.IFNA(VLOOKUP(ROW()-9,DAWorkings!$AT:$BI,12,FALSE),""))</f>
        <v/>
      </c>
      <c r="K27" s="462" t="str">
        <f>IF(_xlfn.IFNA(VLOOKUP(ROW()-9,DAWorkings!$AT:$BI,13,FALSE),"")=0,"",_xlfn.IFNA(VLOOKUP(ROW()-9,DAWorkings!$AT:$BI,13,FALSE),""))</f>
        <v/>
      </c>
      <c r="L27" s="462" t="str">
        <f>IF(_xlfn.IFNA(VLOOKUP(ROW()-9,DAWorkings!$AT:$BI,10,FALSE),"")=0,"",_xlfn.IFNA(VLOOKUP(ROW()-9,DAWorkings!$AT:$BI,10,FALSE),""))</f>
        <v/>
      </c>
      <c r="M27" s="462" t="str">
        <f>IF(_xlfn.IFNA(VLOOKUP(ROW()-9,DAWorkings!$AT:$BI,10,FALSE),"")=0,"",_xlfn.IFNA(VLOOKUP(ROW()-9,DAWorkings!$AT:$BI,14,FALSE),""))</f>
        <v/>
      </c>
      <c r="N27" s="462" t="str">
        <f>_xlfn.IFNA(INDEX('Retention Schedule'!K:N,MATCH(VLOOKUP(ROW()-9,DAWorkings!$AT:$BI,11,FALSE),'Retention Schedule'!N:N,0),1),"")</f>
        <v/>
      </c>
      <c r="O27" s="462" t="str">
        <f>_xlfn.IFNA(VLOOKUP(ROW()-9,DAWorkings!$AT:$BI,15,FALSE),"")&amp;_xlfn.IFNA(IF(AND(VLOOKUP(ROW()-9,DAWorkings!$AT:$BJ,17,FALSE)="Yes(2)",VLOOKUP(ROW()-9,DAWorkings!$AT:$BI,15,FALSE)="Yes(1)")," &amp; ",""),"")&amp;IF(_xlfn.IFNA(VLOOKUP(ROW()-9,DAWorkings!$AT:$BJ,17,FALSE),"")=0,"",_xlfn.IFNA(VLOOKUP(ROW()-9,DAWorkings!$AT:$BJ,17,FALSE),""))</f>
        <v/>
      </c>
      <c r="P27" s="291" t="str">
        <f>IF(_xlfn.IFNA(VLOOKUP(ROW()-9,DAWorkings!$AT:$BI,10,FALSE),"")=0,"",_xlfn.IFNA(VLOOKUP(ROW()-9,DAWorkings!$AT:$BI,16,FALSE),""))</f>
        <v/>
      </c>
    </row>
    <row r="28" spans="1:16">
      <c r="A28" s="34"/>
      <c r="B28" s="462" t="str">
        <f>IF(_xlfn.IFNA(VLOOKUP(ROW()-9,DAWorkings!$AT:$BI,2,FALSE),"")=0,"",_xlfn.IFNA(VLOOKUP(ROW()-9,DAWorkings!$AT:$BI,2,FALSE),""))</f>
        <v/>
      </c>
      <c r="C28" s="462" t="str">
        <f>_xlfn.IFNA(VLOOKUP(ROW()-9,DAWorkings!$AT:$BI,5,FALSE),"")</f>
        <v/>
      </c>
      <c r="D28" s="462" t="str">
        <f>_xlfn.IFNA(VLOOKUP(ROW()-9,DAWorkings!$AT:$BI,6,FALSE),"")</f>
        <v/>
      </c>
      <c r="E28" s="462" t="str">
        <f>_xlfn.IFNA(VLOOKUP(ROW()-9,DAWorkings!$AT:$BI,3,FALSE),"")</f>
        <v/>
      </c>
      <c r="F28" s="462" t="str">
        <f>_xlfn.IFNA(VLOOKUP((VLOOKUP(ROW()-9,DAWorkings!$AT:$BI,4,FALSE)),DAWorkings!$AU$3:$AV$6,2,FALSE),"")</f>
        <v/>
      </c>
      <c r="G28" s="462" t="str">
        <f>_xlfn.IFNA(VLOOKUP(ROW()-9,DAWorkings!$AT:$BI,9,FALSE),"")</f>
        <v/>
      </c>
      <c r="H28" s="462" t="str">
        <f>_xlfn.IFNA(VLOOKUP(ROW()-9,DAWorkings!$AT:$BI,7,FALSE),"")</f>
        <v/>
      </c>
      <c r="I28" s="462" t="str">
        <f>IF(_xlfn.IFNA(VLOOKUP(ROW()-9,DAWorkings!$AT:$BI,8,FALSE),"")=0,"",_xlfn.IFNA(VLOOKUP(ROW()-9,DAWorkings!$AT:$BI,8,FALSE),""))</f>
        <v/>
      </c>
      <c r="J28" s="462" t="str">
        <f>IF(_xlfn.IFNA(VLOOKUP(ROW()-9,DAWorkings!$AT:$BI,12,FALSE),"")=0,"",_xlfn.IFNA(VLOOKUP(ROW()-9,DAWorkings!$AT:$BI,12,FALSE),""))</f>
        <v/>
      </c>
      <c r="K28" s="462" t="str">
        <f>IF(_xlfn.IFNA(VLOOKUP(ROW()-9,DAWorkings!$AT:$BI,13,FALSE),"")=0,"",_xlfn.IFNA(VLOOKUP(ROW()-9,DAWorkings!$AT:$BI,13,FALSE),""))</f>
        <v/>
      </c>
      <c r="L28" s="462" t="str">
        <f>IF(_xlfn.IFNA(VLOOKUP(ROW()-9,DAWorkings!$AT:$BI,10,FALSE),"")=0,"",_xlfn.IFNA(VLOOKUP(ROW()-9,DAWorkings!$AT:$BI,10,FALSE),""))</f>
        <v/>
      </c>
      <c r="M28" s="462" t="str">
        <f>IF(_xlfn.IFNA(VLOOKUP(ROW()-9,DAWorkings!$AT:$BI,10,FALSE),"")=0,"",_xlfn.IFNA(VLOOKUP(ROW()-9,DAWorkings!$AT:$BI,14,FALSE),""))</f>
        <v/>
      </c>
      <c r="N28" s="462" t="str">
        <f>_xlfn.IFNA(INDEX('Retention Schedule'!K:N,MATCH(VLOOKUP(ROW()-9,DAWorkings!$AT:$BI,11,FALSE),'Retention Schedule'!N:N,0),1),"")</f>
        <v/>
      </c>
      <c r="O28" s="462" t="str">
        <f>_xlfn.IFNA(VLOOKUP(ROW()-9,DAWorkings!$AT:$BI,15,FALSE),"")&amp;_xlfn.IFNA(IF(AND(VLOOKUP(ROW()-9,DAWorkings!$AT:$BJ,17,FALSE)="Yes(2)",VLOOKUP(ROW()-9,DAWorkings!$AT:$BI,15,FALSE)="Yes(1)")," &amp; ",""),"")&amp;IF(_xlfn.IFNA(VLOOKUP(ROW()-9,DAWorkings!$AT:$BJ,17,FALSE),"")=0,"",_xlfn.IFNA(VLOOKUP(ROW()-9,DAWorkings!$AT:$BJ,17,FALSE),""))</f>
        <v/>
      </c>
      <c r="P28" s="291" t="str">
        <f>IF(_xlfn.IFNA(VLOOKUP(ROW()-9,DAWorkings!$AT:$BI,10,FALSE),"")=0,"",_xlfn.IFNA(VLOOKUP(ROW()-9,DAWorkings!$AT:$BI,16,FALSE),""))</f>
        <v/>
      </c>
    </row>
    <row r="29" spans="1:16">
      <c r="A29" s="34"/>
      <c r="B29" s="462" t="str">
        <f>IF(_xlfn.IFNA(VLOOKUP(ROW()-9,DAWorkings!$AT:$BI,2,FALSE),"")=0,"",_xlfn.IFNA(VLOOKUP(ROW()-9,DAWorkings!$AT:$BI,2,FALSE),""))</f>
        <v/>
      </c>
      <c r="C29" s="462" t="str">
        <f>_xlfn.IFNA(VLOOKUP(ROW()-9,DAWorkings!$AT:$BI,5,FALSE),"")</f>
        <v/>
      </c>
      <c r="D29" s="462" t="str">
        <f>_xlfn.IFNA(VLOOKUP(ROW()-9,DAWorkings!$AT:$BI,6,FALSE),"")</f>
        <v/>
      </c>
      <c r="E29" s="462" t="str">
        <f>_xlfn.IFNA(VLOOKUP(ROW()-9,DAWorkings!$AT:$BI,3,FALSE),"")</f>
        <v/>
      </c>
      <c r="F29" s="462" t="str">
        <f>_xlfn.IFNA(VLOOKUP((VLOOKUP(ROW()-9,DAWorkings!$AT:$BI,4,FALSE)),DAWorkings!$AU$3:$AV$6,2,FALSE),"")</f>
        <v/>
      </c>
      <c r="G29" s="462" t="str">
        <f>_xlfn.IFNA(VLOOKUP(ROW()-9,DAWorkings!$AT:$BI,9,FALSE),"")</f>
        <v/>
      </c>
      <c r="H29" s="462" t="str">
        <f>_xlfn.IFNA(VLOOKUP(ROW()-9,DAWorkings!$AT:$BI,7,FALSE),"")</f>
        <v/>
      </c>
      <c r="I29" s="462" t="str">
        <f>IF(_xlfn.IFNA(VLOOKUP(ROW()-9,DAWorkings!$AT:$BI,8,FALSE),"")=0,"",_xlfn.IFNA(VLOOKUP(ROW()-9,DAWorkings!$AT:$BI,8,FALSE),""))</f>
        <v/>
      </c>
      <c r="J29" s="462" t="str">
        <f>IF(_xlfn.IFNA(VLOOKUP(ROW()-9,DAWorkings!$AT:$BI,12,FALSE),"")=0,"",_xlfn.IFNA(VLOOKUP(ROW()-9,DAWorkings!$AT:$BI,12,FALSE),""))</f>
        <v/>
      </c>
      <c r="K29" s="462" t="str">
        <f>IF(_xlfn.IFNA(VLOOKUP(ROW()-9,DAWorkings!$AT:$BI,13,FALSE),"")=0,"",_xlfn.IFNA(VLOOKUP(ROW()-9,DAWorkings!$AT:$BI,13,FALSE),""))</f>
        <v/>
      </c>
      <c r="L29" s="462" t="str">
        <f>IF(_xlfn.IFNA(VLOOKUP(ROW()-9,DAWorkings!$AT:$BI,10,FALSE),"")=0,"",_xlfn.IFNA(VLOOKUP(ROW()-9,DAWorkings!$AT:$BI,10,FALSE),""))</f>
        <v/>
      </c>
      <c r="M29" s="462" t="str">
        <f>IF(_xlfn.IFNA(VLOOKUP(ROW()-9,DAWorkings!$AT:$BI,10,FALSE),"")=0,"",_xlfn.IFNA(VLOOKUP(ROW()-9,DAWorkings!$AT:$BI,14,FALSE),""))</f>
        <v/>
      </c>
      <c r="N29" s="462" t="str">
        <f>_xlfn.IFNA(INDEX('Retention Schedule'!K:N,MATCH(VLOOKUP(ROW()-9,DAWorkings!$AT:$BI,11,FALSE),'Retention Schedule'!N:N,0),1),"")</f>
        <v/>
      </c>
      <c r="O29" s="462" t="str">
        <f>_xlfn.IFNA(VLOOKUP(ROW()-9,DAWorkings!$AT:$BI,15,FALSE),"")&amp;_xlfn.IFNA(IF(AND(VLOOKUP(ROW()-9,DAWorkings!$AT:$BJ,17,FALSE)="Yes(2)",VLOOKUP(ROW()-9,DAWorkings!$AT:$BI,15,FALSE)="Yes(1)")," &amp; ",""),"")&amp;IF(_xlfn.IFNA(VLOOKUP(ROW()-9,DAWorkings!$AT:$BJ,17,FALSE),"")=0,"",_xlfn.IFNA(VLOOKUP(ROW()-9,DAWorkings!$AT:$BJ,17,FALSE),""))</f>
        <v/>
      </c>
      <c r="P29" s="291" t="str">
        <f>IF(_xlfn.IFNA(VLOOKUP(ROW()-9,DAWorkings!$AT:$BI,10,FALSE),"")=0,"",_xlfn.IFNA(VLOOKUP(ROW()-9,DAWorkings!$AT:$BI,16,FALSE),""))</f>
        <v/>
      </c>
    </row>
    <row r="30" spans="1:16">
      <c r="A30" s="34"/>
      <c r="B30" s="462" t="str">
        <f>IF(_xlfn.IFNA(VLOOKUP(ROW()-9,DAWorkings!$AT:$BI,2,FALSE),"")=0,"",_xlfn.IFNA(VLOOKUP(ROW()-9,DAWorkings!$AT:$BI,2,FALSE),""))</f>
        <v/>
      </c>
      <c r="C30" s="462" t="str">
        <f>_xlfn.IFNA(VLOOKUP(ROW()-9,DAWorkings!$AT:$BI,5,FALSE),"")</f>
        <v/>
      </c>
      <c r="D30" s="462" t="str">
        <f>_xlfn.IFNA(VLOOKUP(ROW()-9,DAWorkings!$AT:$BI,6,FALSE),"")</f>
        <v/>
      </c>
      <c r="E30" s="462" t="str">
        <f>_xlfn.IFNA(VLOOKUP(ROW()-9,DAWorkings!$AT:$BI,3,FALSE),"")</f>
        <v/>
      </c>
      <c r="F30" s="462" t="str">
        <f>_xlfn.IFNA(VLOOKUP((VLOOKUP(ROW()-9,DAWorkings!$AT:$BI,4,FALSE)),DAWorkings!$AU$3:$AV$6,2,FALSE),"")</f>
        <v/>
      </c>
      <c r="G30" s="462" t="str">
        <f>_xlfn.IFNA(VLOOKUP(ROW()-9,DAWorkings!$AT:$BI,9,FALSE),"")</f>
        <v/>
      </c>
      <c r="H30" s="462" t="str">
        <f>_xlfn.IFNA(VLOOKUP(ROW()-9,DAWorkings!$AT:$BI,7,FALSE),"")</f>
        <v/>
      </c>
      <c r="I30" s="462" t="str">
        <f>IF(_xlfn.IFNA(VLOOKUP(ROW()-9,DAWorkings!$AT:$BI,8,FALSE),"")=0,"",_xlfn.IFNA(VLOOKUP(ROW()-9,DAWorkings!$AT:$BI,8,FALSE),""))</f>
        <v/>
      </c>
      <c r="J30" s="462" t="str">
        <f>IF(_xlfn.IFNA(VLOOKUP(ROW()-9,DAWorkings!$AT:$BI,12,FALSE),"")=0,"",_xlfn.IFNA(VLOOKUP(ROW()-9,DAWorkings!$AT:$BI,12,FALSE),""))</f>
        <v/>
      </c>
      <c r="K30" s="462" t="str">
        <f>IF(_xlfn.IFNA(VLOOKUP(ROW()-9,DAWorkings!$AT:$BI,13,FALSE),"")=0,"",_xlfn.IFNA(VLOOKUP(ROW()-9,DAWorkings!$AT:$BI,13,FALSE),""))</f>
        <v/>
      </c>
      <c r="L30" s="462" t="str">
        <f>IF(_xlfn.IFNA(VLOOKUP(ROW()-9,DAWorkings!$AT:$BI,10,FALSE),"")=0,"",_xlfn.IFNA(VLOOKUP(ROW()-9,DAWorkings!$AT:$BI,10,FALSE),""))</f>
        <v/>
      </c>
      <c r="M30" s="462" t="str">
        <f>IF(_xlfn.IFNA(VLOOKUP(ROW()-9,DAWorkings!$AT:$BI,10,FALSE),"")=0,"",_xlfn.IFNA(VLOOKUP(ROW()-9,DAWorkings!$AT:$BI,14,FALSE),""))</f>
        <v/>
      </c>
      <c r="N30" s="462" t="str">
        <f>_xlfn.IFNA(INDEX('Retention Schedule'!K:N,MATCH(VLOOKUP(ROW()-9,DAWorkings!$AT:$BI,11,FALSE),'Retention Schedule'!N:N,0),1),"")</f>
        <v/>
      </c>
      <c r="O30" s="462" t="str">
        <f>_xlfn.IFNA(VLOOKUP(ROW()-9,DAWorkings!$AT:$BI,15,FALSE),"")&amp;_xlfn.IFNA(IF(AND(VLOOKUP(ROW()-9,DAWorkings!$AT:$BJ,17,FALSE)="Yes(2)",VLOOKUP(ROW()-9,DAWorkings!$AT:$BI,15,FALSE)="Yes(1)")," &amp; ",""),"")&amp;IF(_xlfn.IFNA(VLOOKUP(ROW()-9,DAWorkings!$AT:$BJ,17,FALSE),"")=0,"",_xlfn.IFNA(VLOOKUP(ROW()-9,DAWorkings!$AT:$BJ,17,FALSE),""))</f>
        <v/>
      </c>
      <c r="P30" s="291" t="str">
        <f>IF(_xlfn.IFNA(VLOOKUP(ROW()-9,DAWorkings!$AT:$BI,10,FALSE),"")=0,"",_xlfn.IFNA(VLOOKUP(ROW()-9,DAWorkings!$AT:$BI,16,FALSE),""))</f>
        <v/>
      </c>
    </row>
    <row r="31" spans="1:16">
      <c r="A31" s="34"/>
      <c r="B31" s="462" t="str">
        <f>IF(_xlfn.IFNA(VLOOKUP(ROW()-9,DAWorkings!$AT:$BI,2,FALSE),"")=0,"",_xlfn.IFNA(VLOOKUP(ROW()-9,DAWorkings!$AT:$BI,2,FALSE),""))</f>
        <v/>
      </c>
      <c r="C31" s="462" t="str">
        <f>_xlfn.IFNA(VLOOKUP(ROW()-9,DAWorkings!$AT:$BI,5,FALSE),"")</f>
        <v/>
      </c>
      <c r="D31" s="462" t="str">
        <f>_xlfn.IFNA(VLOOKUP(ROW()-9,DAWorkings!$AT:$BI,6,FALSE),"")</f>
        <v/>
      </c>
      <c r="E31" s="462" t="str">
        <f>_xlfn.IFNA(VLOOKUP(ROW()-9,DAWorkings!$AT:$BI,3,FALSE),"")</f>
        <v/>
      </c>
      <c r="F31" s="462" t="str">
        <f>_xlfn.IFNA(VLOOKUP((VLOOKUP(ROW()-9,DAWorkings!$AT:$BI,4,FALSE)),DAWorkings!$AU$3:$AV$6,2,FALSE),"")</f>
        <v/>
      </c>
      <c r="G31" s="462" t="str">
        <f>_xlfn.IFNA(VLOOKUP(ROW()-9,DAWorkings!$AT:$BI,9,FALSE),"")</f>
        <v/>
      </c>
      <c r="H31" s="462" t="str">
        <f>_xlfn.IFNA(VLOOKUP(ROW()-9,DAWorkings!$AT:$BI,7,FALSE),"")</f>
        <v/>
      </c>
      <c r="I31" s="462" t="str">
        <f>IF(_xlfn.IFNA(VLOOKUP(ROW()-9,DAWorkings!$AT:$BI,8,FALSE),"")=0,"",_xlfn.IFNA(VLOOKUP(ROW()-9,DAWorkings!$AT:$BI,8,FALSE),""))</f>
        <v/>
      </c>
      <c r="J31" s="462" t="str">
        <f>IF(_xlfn.IFNA(VLOOKUP(ROW()-9,DAWorkings!$AT:$BI,12,FALSE),"")=0,"",_xlfn.IFNA(VLOOKUP(ROW()-9,DAWorkings!$AT:$BI,12,FALSE),""))</f>
        <v/>
      </c>
      <c r="K31" s="462" t="str">
        <f>IF(_xlfn.IFNA(VLOOKUP(ROW()-9,DAWorkings!$AT:$BI,13,FALSE),"")=0,"",_xlfn.IFNA(VLOOKUP(ROW()-9,DAWorkings!$AT:$BI,13,FALSE),""))</f>
        <v/>
      </c>
      <c r="L31" s="462" t="str">
        <f>IF(_xlfn.IFNA(VLOOKUP(ROW()-9,DAWorkings!$AT:$BI,10,FALSE),"")=0,"",_xlfn.IFNA(VLOOKUP(ROW()-9,DAWorkings!$AT:$BI,10,FALSE),""))</f>
        <v/>
      </c>
      <c r="M31" s="462" t="str">
        <f>IF(_xlfn.IFNA(VLOOKUP(ROW()-9,DAWorkings!$AT:$BI,10,FALSE),"")=0,"",_xlfn.IFNA(VLOOKUP(ROW()-9,DAWorkings!$AT:$BI,14,FALSE),""))</f>
        <v/>
      </c>
      <c r="N31" s="462" t="str">
        <f>_xlfn.IFNA(INDEX('Retention Schedule'!K:N,MATCH(VLOOKUP(ROW()-9,DAWorkings!$AT:$BI,11,FALSE),'Retention Schedule'!N:N,0),1),"")</f>
        <v/>
      </c>
      <c r="O31" s="462" t="str">
        <f>_xlfn.IFNA(VLOOKUP(ROW()-9,DAWorkings!$AT:$BI,15,FALSE),"")&amp;_xlfn.IFNA(IF(AND(VLOOKUP(ROW()-9,DAWorkings!$AT:$BJ,17,FALSE)="Yes(2)",VLOOKUP(ROW()-9,DAWorkings!$AT:$BI,15,FALSE)="Yes(1)")," &amp; ",""),"")&amp;IF(_xlfn.IFNA(VLOOKUP(ROW()-9,DAWorkings!$AT:$BJ,17,FALSE),"")=0,"",_xlfn.IFNA(VLOOKUP(ROW()-9,DAWorkings!$AT:$BJ,17,FALSE),""))</f>
        <v/>
      </c>
      <c r="P31" s="291" t="str">
        <f>IF(_xlfn.IFNA(VLOOKUP(ROW()-9,DAWorkings!$AT:$BI,10,FALSE),"")=0,"",_xlfn.IFNA(VLOOKUP(ROW()-9,DAWorkings!$AT:$BI,16,FALSE),""))</f>
        <v/>
      </c>
    </row>
    <row r="32" spans="1:16">
      <c r="A32" s="34"/>
      <c r="B32" s="462" t="str">
        <f>IF(_xlfn.IFNA(VLOOKUP(ROW()-9,DAWorkings!$AT:$BI,2,FALSE),"")=0,"",_xlfn.IFNA(VLOOKUP(ROW()-9,DAWorkings!$AT:$BI,2,FALSE),""))</f>
        <v/>
      </c>
      <c r="C32" s="462" t="str">
        <f>_xlfn.IFNA(VLOOKUP(ROW()-9,DAWorkings!$AT:$BI,5,FALSE),"")</f>
        <v/>
      </c>
      <c r="D32" s="462" t="str">
        <f>_xlfn.IFNA(VLOOKUP(ROW()-9,DAWorkings!$AT:$BI,6,FALSE),"")</f>
        <v/>
      </c>
      <c r="E32" s="462" t="str">
        <f>_xlfn.IFNA(VLOOKUP(ROW()-9,DAWorkings!$AT:$BI,3,FALSE),"")</f>
        <v/>
      </c>
      <c r="F32" s="462" t="str">
        <f>_xlfn.IFNA(VLOOKUP((VLOOKUP(ROW()-9,DAWorkings!$AT:$BI,4,FALSE)),DAWorkings!$AU$3:$AV$6,2,FALSE),"")</f>
        <v/>
      </c>
      <c r="G32" s="462" t="str">
        <f>_xlfn.IFNA(VLOOKUP(ROW()-9,DAWorkings!$AT:$BI,9,FALSE),"")</f>
        <v/>
      </c>
      <c r="H32" s="462" t="str">
        <f>_xlfn.IFNA(VLOOKUP(ROW()-9,DAWorkings!$AT:$BI,7,FALSE),"")</f>
        <v/>
      </c>
      <c r="I32" s="462" t="str">
        <f>IF(_xlfn.IFNA(VLOOKUP(ROW()-9,DAWorkings!$AT:$BI,8,FALSE),"")=0,"",_xlfn.IFNA(VLOOKUP(ROW()-9,DAWorkings!$AT:$BI,8,FALSE),""))</f>
        <v/>
      </c>
      <c r="J32" s="462" t="str">
        <f>IF(_xlfn.IFNA(VLOOKUP(ROW()-9,DAWorkings!$AT:$BI,12,FALSE),"")=0,"",_xlfn.IFNA(VLOOKUP(ROW()-9,DAWorkings!$AT:$BI,12,FALSE),""))</f>
        <v/>
      </c>
      <c r="K32" s="462" t="str">
        <f>IF(_xlfn.IFNA(VLOOKUP(ROW()-9,DAWorkings!$AT:$BI,13,FALSE),"")=0,"",_xlfn.IFNA(VLOOKUP(ROW()-9,DAWorkings!$AT:$BI,13,FALSE),""))</f>
        <v/>
      </c>
      <c r="L32" s="462" t="str">
        <f>IF(_xlfn.IFNA(VLOOKUP(ROW()-9,DAWorkings!$AT:$BI,10,FALSE),"")=0,"",_xlfn.IFNA(VLOOKUP(ROW()-9,DAWorkings!$AT:$BI,10,FALSE),""))</f>
        <v/>
      </c>
      <c r="M32" s="462" t="str">
        <f>IF(_xlfn.IFNA(VLOOKUP(ROW()-9,DAWorkings!$AT:$BI,10,FALSE),"")=0,"",_xlfn.IFNA(VLOOKUP(ROW()-9,DAWorkings!$AT:$BI,14,FALSE),""))</f>
        <v/>
      </c>
      <c r="N32" s="462" t="str">
        <f>_xlfn.IFNA(INDEX('Retention Schedule'!K:N,MATCH(VLOOKUP(ROW()-9,DAWorkings!$AT:$BI,11,FALSE),'Retention Schedule'!N:N,0),1),"")</f>
        <v/>
      </c>
      <c r="O32" s="462" t="str">
        <f>_xlfn.IFNA(VLOOKUP(ROW()-9,DAWorkings!$AT:$BI,15,FALSE),"")&amp;_xlfn.IFNA(IF(AND(VLOOKUP(ROW()-9,DAWorkings!$AT:$BJ,17,FALSE)="Yes(2)",VLOOKUP(ROW()-9,DAWorkings!$AT:$BI,15,FALSE)="Yes(1)")," &amp; ",""),"")&amp;IF(_xlfn.IFNA(VLOOKUP(ROW()-9,DAWorkings!$AT:$BJ,17,FALSE),"")=0,"",_xlfn.IFNA(VLOOKUP(ROW()-9,DAWorkings!$AT:$BJ,17,FALSE),""))</f>
        <v/>
      </c>
      <c r="P32" s="291" t="str">
        <f>IF(_xlfn.IFNA(VLOOKUP(ROW()-9,DAWorkings!$AT:$BI,10,FALSE),"")=0,"",_xlfn.IFNA(VLOOKUP(ROW()-9,DAWorkings!$AT:$BI,16,FALSE),""))</f>
        <v/>
      </c>
    </row>
    <row r="33" spans="1:16">
      <c r="A33" s="34"/>
      <c r="B33" s="462" t="str">
        <f>IF(_xlfn.IFNA(VLOOKUP(ROW()-9,DAWorkings!$AT:$BI,2,FALSE),"")=0,"",_xlfn.IFNA(VLOOKUP(ROW()-9,DAWorkings!$AT:$BI,2,FALSE),""))</f>
        <v/>
      </c>
      <c r="C33" s="462" t="str">
        <f>_xlfn.IFNA(VLOOKUP(ROW()-9,DAWorkings!$AT:$BI,5,FALSE),"")</f>
        <v/>
      </c>
      <c r="D33" s="462" t="str">
        <f>_xlfn.IFNA(VLOOKUP(ROW()-9,DAWorkings!$AT:$BI,6,FALSE),"")</f>
        <v/>
      </c>
      <c r="E33" s="462" t="str">
        <f>_xlfn.IFNA(VLOOKUP(ROW()-9,DAWorkings!$AT:$BI,3,FALSE),"")</f>
        <v/>
      </c>
      <c r="F33" s="462" t="str">
        <f>_xlfn.IFNA(VLOOKUP((VLOOKUP(ROW()-9,DAWorkings!$AT:$BI,4,FALSE)),DAWorkings!$AU$3:$AV$6,2,FALSE),"")</f>
        <v/>
      </c>
      <c r="G33" s="462" t="str">
        <f>_xlfn.IFNA(VLOOKUP(ROW()-9,DAWorkings!$AT:$BI,9,FALSE),"")</f>
        <v/>
      </c>
      <c r="H33" s="462" t="str">
        <f>_xlfn.IFNA(VLOOKUP(ROW()-9,DAWorkings!$AT:$BI,7,FALSE),"")</f>
        <v/>
      </c>
      <c r="I33" s="462" t="str">
        <f>IF(_xlfn.IFNA(VLOOKUP(ROW()-9,DAWorkings!$AT:$BI,8,FALSE),"")=0,"",_xlfn.IFNA(VLOOKUP(ROW()-9,DAWorkings!$AT:$BI,8,FALSE),""))</f>
        <v/>
      </c>
      <c r="J33" s="462" t="str">
        <f>IF(_xlfn.IFNA(VLOOKUP(ROW()-9,DAWorkings!$AT:$BI,12,FALSE),"")=0,"",_xlfn.IFNA(VLOOKUP(ROW()-9,DAWorkings!$AT:$BI,12,FALSE),""))</f>
        <v/>
      </c>
      <c r="K33" s="462" t="str">
        <f>IF(_xlfn.IFNA(VLOOKUP(ROW()-9,DAWorkings!$AT:$BI,13,FALSE),"")=0,"",_xlfn.IFNA(VLOOKUP(ROW()-9,DAWorkings!$AT:$BI,13,FALSE),""))</f>
        <v/>
      </c>
      <c r="L33" s="462" t="str">
        <f>IF(_xlfn.IFNA(VLOOKUP(ROW()-9,DAWorkings!$AT:$BI,10,FALSE),"")=0,"",_xlfn.IFNA(VLOOKUP(ROW()-9,DAWorkings!$AT:$BI,10,FALSE),""))</f>
        <v/>
      </c>
      <c r="M33" s="462" t="str">
        <f>IF(_xlfn.IFNA(VLOOKUP(ROW()-9,DAWorkings!$AT:$BI,10,FALSE),"")=0,"",_xlfn.IFNA(VLOOKUP(ROW()-9,DAWorkings!$AT:$BI,14,FALSE),""))</f>
        <v/>
      </c>
      <c r="N33" s="462" t="str">
        <f>_xlfn.IFNA(INDEX('Retention Schedule'!K:N,MATCH(VLOOKUP(ROW()-9,DAWorkings!$AT:$BI,11,FALSE),'Retention Schedule'!N:N,0),1),"")</f>
        <v/>
      </c>
      <c r="O33" s="462" t="str">
        <f>_xlfn.IFNA(VLOOKUP(ROW()-9,DAWorkings!$AT:$BI,15,FALSE),"")&amp;_xlfn.IFNA(IF(AND(VLOOKUP(ROW()-9,DAWorkings!$AT:$BJ,17,FALSE)="Yes(2)",VLOOKUP(ROW()-9,DAWorkings!$AT:$BI,15,FALSE)="Yes(1)")," &amp; ",""),"")&amp;IF(_xlfn.IFNA(VLOOKUP(ROW()-9,DAWorkings!$AT:$BJ,17,FALSE),"")=0,"",_xlfn.IFNA(VLOOKUP(ROW()-9,DAWorkings!$AT:$BJ,17,FALSE),""))</f>
        <v/>
      </c>
      <c r="P33" s="291" t="str">
        <f>IF(_xlfn.IFNA(VLOOKUP(ROW()-9,DAWorkings!$AT:$BI,10,FALSE),"")=0,"",_xlfn.IFNA(VLOOKUP(ROW()-9,DAWorkings!$AT:$BI,16,FALSE),""))</f>
        <v/>
      </c>
    </row>
    <row r="34" spans="1:16">
      <c r="A34" s="34"/>
      <c r="B34" s="462" t="str">
        <f>IF(_xlfn.IFNA(VLOOKUP(ROW()-9,DAWorkings!$AT:$BI,2,FALSE),"")=0,"",_xlfn.IFNA(VLOOKUP(ROW()-9,DAWorkings!$AT:$BI,2,FALSE),""))</f>
        <v/>
      </c>
      <c r="C34" s="462" t="str">
        <f>_xlfn.IFNA(VLOOKUP(ROW()-9,DAWorkings!$AT:$BI,5,FALSE),"")</f>
        <v/>
      </c>
      <c r="D34" s="462" t="str">
        <f>_xlfn.IFNA(VLOOKUP(ROW()-9,DAWorkings!$AT:$BI,6,FALSE),"")</f>
        <v/>
      </c>
      <c r="E34" s="462" t="str">
        <f>_xlfn.IFNA(VLOOKUP(ROW()-9,DAWorkings!$AT:$BI,3,FALSE),"")</f>
        <v/>
      </c>
      <c r="F34" s="462" t="str">
        <f>_xlfn.IFNA(VLOOKUP((VLOOKUP(ROW()-9,DAWorkings!$AT:$BI,4,FALSE)),DAWorkings!$AU$3:$AV$6,2,FALSE),"")</f>
        <v/>
      </c>
      <c r="G34" s="462" t="str">
        <f>_xlfn.IFNA(VLOOKUP(ROW()-9,DAWorkings!$AT:$BI,9,FALSE),"")</f>
        <v/>
      </c>
      <c r="H34" s="462" t="str">
        <f>_xlfn.IFNA(VLOOKUP(ROW()-9,DAWorkings!$AT:$BI,7,FALSE),"")</f>
        <v/>
      </c>
      <c r="I34" s="462" t="str">
        <f>IF(_xlfn.IFNA(VLOOKUP(ROW()-9,DAWorkings!$AT:$BI,8,FALSE),"")=0,"",_xlfn.IFNA(VLOOKUP(ROW()-9,DAWorkings!$AT:$BI,8,FALSE),""))</f>
        <v/>
      </c>
      <c r="J34" s="462" t="str">
        <f>IF(_xlfn.IFNA(VLOOKUP(ROW()-9,DAWorkings!$AT:$BI,12,FALSE),"")=0,"",_xlfn.IFNA(VLOOKUP(ROW()-9,DAWorkings!$AT:$BI,12,FALSE),""))</f>
        <v/>
      </c>
      <c r="K34" s="462" t="str">
        <f>IF(_xlfn.IFNA(VLOOKUP(ROW()-9,DAWorkings!$AT:$BI,13,FALSE),"")=0,"",_xlfn.IFNA(VLOOKUP(ROW()-9,DAWorkings!$AT:$BI,13,FALSE),""))</f>
        <v/>
      </c>
      <c r="L34" s="462" t="str">
        <f>IF(_xlfn.IFNA(VLOOKUP(ROW()-9,DAWorkings!$AT:$BI,10,FALSE),"")=0,"",_xlfn.IFNA(VLOOKUP(ROW()-9,DAWorkings!$AT:$BI,10,FALSE),""))</f>
        <v/>
      </c>
      <c r="M34" s="462" t="str">
        <f>IF(_xlfn.IFNA(VLOOKUP(ROW()-9,DAWorkings!$AT:$BI,10,FALSE),"")=0,"",_xlfn.IFNA(VLOOKUP(ROW()-9,DAWorkings!$AT:$BI,14,FALSE),""))</f>
        <v/>
      </c>
      <c r="N34" s="462" t="str">
        <f>_xlfn.IFNA(INDEX('Retention Schedule'!K:N,MATCH(VLOOKUP(ROW()-9,DAWorkings!$AT:$BI,11,FALSE),'Retention Schedule'!N:N,0),1),"")</f>
        <v/>
      </c>
      <c r="O34" s="462" t="str">
        <f>_xlfn.IFNA(VLOOKUP(ROW()-9,DAWorkings!$AT:$BI,15,FALSE),"")&amp;_xlfn.IFNA(IF(AND(VLOOKUP(ROW()-9,DAWorkings!$AT:$BJ,17,FALSE)="Yes(2)",VLOOKUP(ROW()-9,DAWorkings!$AT:$BI,15,FALSE)="Yes(1)")," &amp; ",""),"")&amp;IF(_xlfn.IFNA(VLOOKUP(ROW()-9,DAWorkings!$AT:$BJ,17,FALSE),"")=0,"",_xlfn.IFNA(VLOOKUP(ROW()-9,DAWorkings!$AT:$BJ,17,FALSE),""))</f>
        <v/>
      </c>
      <c r="P34" s="291" t="str">
        <f>IF(_xlfn.IFNA(VLOOKUP(ROW()-9,DAWorkings!$AT:$BI,10,FALSE),"")=0,"",_xlfn.IFNA(VLOOKUP(ROW()-9,DAWorkings!$AT:$BI,16,FALSE),""))</f>
        <v/>
      </c>
    </row>
    <row r="35" spans="1:16">
      <c r="A35" s="34"/>
      <c r="B35" s="462" t="str">
        <f>IF(_xlfn.IFNA(VLOOKUP(ROW()-9,DAWorkings!$AT:$BI,2,FALSE),"")=0,"",_xlfn.IFNA(VLOOKUP(ROW()-9,DAWorkings!$AT:$BI,2,FALSE),""))</f>
        <v/>
      </c>
      <c r="C35" s="462" t="str">
        <f>_xlfn.IFNA(VLOOKUP(ROW()-9,DAWorkings!$AT:$BI,5,FALSE),"")</f>
        <v/>
      </c>
      <c r="D35" s="462" t="str">
        <f>_xlfn.IFNA(VLOOKUP(ROW()-9,DAWorkings!$AT:$BI,6,FALSE),"")</f>
        <v/>
      </c>
      <c r="E35" s="462" t="str">
        <f>_xlfn.IFNA(VLOOKUP(ROW()-9,DAWorkings!$AT:$BI,3,FALSE),"")</f>
        <v/>
      </c>
      <c r="F35" s="462" t="str">
        <f>_xlfn.IFNA(VLOOKUP((VLOOKUP(ROW()-9,DAWorkings!$AT:$BI,4,FALSE)),DAWorkings!$AU$3:$AV$6,2,FALSE),"")</f>
        <v/>
      </c>
      <c r="G35" s="462" t="str">
        <f>_xlfn.IFNA(VLOOKUP(ROW()-9,DAWorkings!$AT:$BI,9,FALSE),"")</f>
        <v/>
      </c>
      <c r="H35" s="462" t="str">
        <f>_xlfn.IFNA(VLOOKUP(ROW()-9,DAWorkings!$AT:$BI,7,FALSE),"")</f>
        <v/>
      </c>
      <c r="I35" s="462" t="str">
        <f>IF(_xlfn.IFNA(VLOOKUP(ROW()-9,DAWorkings!$AT:$BI,8,FALSE),"")=0,"",_xlfn.IFNA(VLOOKUP(ROW()-9,DAWorkings!$AT:$BI,8,FALSE),""))</f>
        <v/>
      </c>
      <c r="J35" s="462" t="str">
        <f>IF(_xlfn.IFNA(VLOOKUP(ROW()-9,DAWorkings!$AT:$BI,12,FALSE),"")=0,"",_xlfn.IFNA(VLOOKUP(ROW()-9,DAWorkings!$AT:$BI,12,FALSE),""))</f>
        <v/>
      </c>
      <c r="K35" s="462" t="str">
        <f>IF(_xlfn.IFNA(VLOOKUP(ROW()-9,DAWorkings!$AT:$BI,13,FALSE),"")=0,"",_xlfn.IFNA(VLOOKUP(ROW()-9,DAWorkings!$AT:$BI,13,FALSE),""))</f>
        <v/>
      </c>
      <c r="L35" s="462" t="str">
        <f>IF(_xlfn.IFNA(VLOOKUP(ROW()-9,DAWorkings!$AT:$BI,10,FALSE),"")=0,"",_xlfn.IFNA(VLOOKUP(ROW()-9,DAWorkings!$AT:$BI,10,FALSE),""))</f>
        <v/>
      </c>
      <c r="M35" s="462" t="str">
        <f>IF(_xlfn.IFNA(VLOOKUP(ROW()-9,DAWorkings!$AT:$BI,10,FALSE),"")=0,"",_xlfn.IFNA(VLOOKUP(ROW()-9,DAWorkings!$AT:$BI,14,FALSE),""))</f>
        <v/>
      </c>
      <c r="N35" s="462" t="str">
        <f>_xlfn.IFNA(INDEX('Retention Schedule'!K:N,MATCH(VLOOKUP(ROW()-9,DAWorkings!$AT:$BI,11,FALSE),'Retention Schedule'!N:N,0),1),"")</f>
        <v/>
      </c>
      <c r="O35" s="462" t="str">
        <f>_xlfn.IFNA(VLOOKUP(ROW()-9,DAWorkings!$AT:$BI,15,FALSE),"")&amp;_xlfn.IFNA(IF(AND(VLOOKUP(ROW()-9,DAWorkings!$AT:$BJ,17,FALSE)="Yes(2)",VLOOKUP(ROW()-9,DAWorkings!$AT:$BI,15,FALSE)="Yes(1)")," &amp; ",""),"")&amp;IF(_xlfn.IFNA(VLOOKUP(ROW()-9,DAWorkings!$AT:$BJ,17,FALSE),"")=0,"",_xlfn.IFNA(VLOOKUP(ROW()-9,DAWorkings!$AT:$BJ,17,FALSE),""))</f>
        <v/>
      </c>
      <c r="P35" s="291" t="str">
        <f>IF(_xlfn.IFNA(VLOOKUP(ROW()-9,DAWorkings!$AT:$BI,10,FALSE),"")=0,"",_xlfn.IFNA(VLOOKUP(ROW()-9,DAWorkings!$AT:$BI,16,FALSE),""))</f>
        <v/>
      </c>
    </row>
    <row r="36" spans="1:16">
      <c r="A36" s="34"/>
      <c r="B36" s="462" t="str">
        <f>IF(_xlfn.IFNA(VLOOKUP(ROW()-9,DAWorkings!$AT:$BI,2,FALSE),"")=0,"",_xlfn.IFNA(VLOOKUP(ROW()-9,DAWorkings!$AT:$BI,2,FALSE),""))</f>
        <v/>
      </c>
      <c r="C36" s="462" t="str">
        <f>_xlfn.IFNA(VLOOKUP(ROW()-9,DAWorkings!$AT:$BI,5,FALSE),"")</f>
        <v/>
      </c>
      <c r="D36" s="462" t="str">
        <f>_xlfn.IFNA(VLOOKUP(ROW()-9,DAWorkings!$AT:$BI,6,FALSE),"")</f>
        <v/>
      </c>
      <c r="E36" s="462" t="str">
        <f>_xlfn.IFNA(VLOOKUP(ROW()-9,DAWorkings!$AT:$BI,3,FALSE),"")</f>
        <v/>
      </c>
      <c r="F36" s="462" t="str">
        <f>_xlfn.IFNA(VLOOKUP((VLOOKUP(ROW()-9,DAWorkings!$AT:$BI,4,FALSE)),DAWorkings!$AU$3:$AV$6,2,FALSE),"")</f>
        <v/>
      </c>
      <c r="G36" s="462" t="str">
        <f>_xlfn.IFNA(VLOOKUP(ROW()-9,DAWorkings!$AT:$BI,9,FALSE),"")</f>
        <v/>
      </c>
      <c r="H36" s="462" t="str">
        <f>_xlfn.IFNA(VLOOKUP(ROW()-9,DAWorkings!$AT:$BI,7,FALSE),"")</f>
        <v/>
      </c>
      <c r="I36" s="462" t="str">
        <f>IF(_xlfn.IFNA(VLOOKUP(ROW()-9,DAWorkings!$AT:$BI,8,FALSE),"")=0,"",_xlfn.IFNA(VLOOKUP(ROW()-9,DAWorkings!$AT:$BI,8,FALSE),""))</f>
        <v/>
      </c>
      <c r="J36" s="462" t="str">
        <f>IF(_xlfn.IFNA(VLOOKUP(ROW()-9,DAWorkings!$AT:$BI,12,FALSE),"")=0,"",_xlfn.IFNA(VLOOKUP(ROW()-9,DAWorkings!$AT:$BI,12,FALSE),""))</f>
        <v/>
      </c>
      <c r="K36" s="462" t="str">
        <f>IF(_xlfn.IFNA(VLOOKUP(ROW()-9,DAWorkings!$AT:$BI,13,FALSE),"")=0,"",_xlfn.IFNA(VLOOKUP(ROW()-9,DAWorkings!$AT:$BI,13,FALSE),""))</f>
        <v/>
      </c>
      <c r="L36" s="462" t="str">
        <f>IF(_xlfn.IFNA(VLOOKUP(ROW()-9,DAWorkings!$AT:$BI,10,FALSE),"")=0,"",_xlfn.IFNA(VLOOKUP(ROW()-9,DAWorkings!$AT:$BI,10,FALSE),""))</f>
        <v/>
      </c>
      <c r="M36" s="462" t="str">
        <f>IF(_xlfn.IFNA(VLOOKUP(ROW()-9,DAWorkings!$AT:$BI,10,FALSE),"")=0,"",_xlfn.IFNA(VLOOKUP(ROW()-9,DAWorkings!$AT:$BI,14,FALSE),""))</f>
        <v/>
      </c>
      <c r="N36" s="462" t="str">
        <f>_xlfn.IFNA(INDEX('Retention Schedule'!K:N,MATCH(VLOOKUP(ROW()-9,DAWorkings!$AT:$BI,11,FALSE),'Retention Schedule'!N:N,0),1),"")</f>
        <v/>
      </c>
      <c r="O36" s="462" t="str">
        <f>_xlfn.IFNA(VLOOKUP(ROW()-9,DAWorkings!$AT:$BI,15,FALSE),"")&amp;_xlfn.IFNA(IF(AND(VLOOKUP(ROW()-9,DAWorkings!$AT:$BJ,17,FALSE)="Yes(2)",VLOOKUP(ROW()-9,DAWorkings!$AT:$BI,15,FALSE)="Yes(1)")," &amp; ",""),"")&amp;IF(_xlfn.IFNA(VLOOKUP(ROW()-9,DAWorkings!$AT:$BJ,17,FALSE),"")=0,"",_xlfn.IFNA(VLOOKUP(ROW()-9,DAWorkings!$AT:$BJ,17,FALSE),""))</f>
        <v/>
      </c>
      <c r="P36" s="291" t="str">
        <f>IF(_xlfn.IFNA(VLOOKUP(ROW()-9,DAWorkings!$AT:$BI,10,FALSE),"")=0,"",_xlfn.IFNA(VLOOKUP(ROW()-9,DAWorkings!$AT:$BI,16,FALSE),""))</f>
        <v/>
      </c>
    </row>
    <row r="37" spans="1:16">
      <c r="A37" s="34"/>
      <c r="B37" s="462" t="str">
        <f>IF(_xlfn.IFNA(VLOOKUP(ROW()-9,DAWorkings!$AT:$BI,2,FALSE),"")=0,"",_xlfn.IFNA(VLOOKUP(ROW()-9,DAWorkings!$AT:$BI,2,FALSE),""))</f>
        <v/>
      </c>
      <c r="C37" s="462" t="str">
        <f>_xlfn.IFNA(VLOOKUP(ROW()-9,DAWorkings!$AT:$BI,5,FALSE),"")</f>
        <v/>
      </c>
      <c r="D37" s="462" t="str">
        <f>_xlfn.IFNA(VLOOKUP(ROW()-9,DAWorkings!$AT:$BI,6,FALSE),"")</f>
        <v/>
      </c>
      <c r="E37" s="462" t="str">
        <f>_xlfn.IFNA(VLOOKUP(ROW()-9,DAWorkings!$AT:$BI,3,FALSE),"")</f>
        <v/>
      </c>
      <c r="F37" s="462" t="str">
        <f>_xlfn.IFNA(VLOOKUP((VLOOKUP(ROW()-9,DAWorkings!$AT:$BI,4,FALSE)),DAWorkings!$AU$3:$AV$6,2,FALSE),"")</f>
        <v/>
      </c>
      <c r="G37" s="462" t="str">
        <f>_xlfn.IFNA(VLOOKUP(ROW()-9,DAWorkings!$AT:$BI,9,FALSE),"")</f>
        <v/>
      </c>
      <c r="H37" s="462" t="str">
        <f>_xlfn.IFNA(VLOOKUP(ROW()-9,DAWorkings!$AT:$BI,7,FALSE),"")</f>
        <v/>
      </c>
      <c r="I37" s="462" t="str">
        <f>IF(_xlfn.IFNA(VLOOKUP(ROW()-9,DAWorkings!$AT:$BI,8,FALSE),"")=0,"",_xlfn.IFNA(VLOOKUP(ROW()-9,DAWorkings!$AT:$BI,8,FALSE),""))</f>
        <v/>
      </c>
      <c r="J37" s="462" t="str">
        <f>IF(_xlfn.IFNA(VLOOKUP(ROW()-9,DAWorkings!$AT:$BI,12,FALSE),"")=0,"",_xlfn.IFNA(VLOOKUP(ROW()-9,DAWorkings!$AT:$BI,12,FALSE),""))</f>
        <v/>
      </c>
      <c r="K37" s="462" t="str">
        <f>IF(_xlfn.IFNA(VLOOKUP(ROW()-9,DAWorkings!$AT:$BI,13,FALSE),"")=0,"",_xlfn.IFNA(VLOOKUP(ROW()-9,DAWorkings!$AT:$BI,13,FALSE),""))</f>
        <v/>
      </c>
      <c r="L37" s="462" t="str">
        <f>IF(_xlfn.IFNA(VLOOKUP(ROW()-9,DAWorkings!$AT:$BI,10,FALSE),"")=0,"",_xlfn.IFNA(VLOOKUP(ROW()-9,DAWorkings!$AT:$BI,10,FALSE),""))</f>
        <v/>
      </c>
      <c r="M37" s="462" t="str">
        <f>IF(_xlfn.IFNA(VLOOKUP(ROW()-9,DAWorkings!$AT:$BI,10,FALSE),"")=0,"",_xlfn.IFNA(VLOOKUP(ROW()-9,DAWorkings!$AT:$BI,14,FALSE),""))</f>
        <v/>
      </c>
      <c r="N37" s="462" t="str">
        <f>_xlfn.IFNA(INDEX('Retention Schedule'!K:N,MATCH(VLOOKUP(ROW()-9,DAWorkings!$AT:$BI,11,FALSE),'Retention Schedule'!N:N,0),1),"")</f>
        <v/>
      </c>
      <c r="O37" s="462" t="str">
        <f>_xlfn.IFNA(VLOOKUP(ROW()-9,DAWorkings!$AT:$BI,15,FALSE),"")&amp;_xlfn.IFNA(IF(AND(VLOOKUP(ROW()-9,DAWorkings!$AT:$BJ,17,FALSE)="Yes(2)",VLOOKUP(ROW()-9,DAWorkings!$AT:$BI,15,FALSE)="Yes(1)")," &amp; ",""),"")&amp;IF(_xlfn.IFNA(VLOOKUP(ROW()-9,DAWorkings!$AT:$BJ,17,FALSE),"")=0,"",_xlfn.IFNA(VLOOKUP(ROW()-9,DAWorkings!$AT:$BJ,17,FALSE),""))</f>
        <v/>
      </c>
      <c r="P37" s="291" t="str">
        <f>IF(_xlfn.IFNA(VLOOKUP(ROW()-9,DAWorkings!$AT:$BI,10,FALSE),"")=0,"",_xlfn.IFNA(VLOOKUP(ROW()-9,DAWorkings!$AT:$BI,16,FALSE),""))</f>
        <v/>
      </c>
    </row>
    <row r="38" spans="1:16">
      <c r="A38" s="34"/>
      <c r="B38" s="462" t="str">
        <f>IF(_xlfn.IFNA(VLOOKUP(ROW()-9,DAWorkings!$AT:$BI,2,FALSE),"")=0,"",_xlfn.IFNA(VLOOKUP(ROW()-9,DAWorkings!$AT:$BI,2,FALSE),""))</f>
        <v/>
      </c>
      <c r="C38" s="462" t="str">
        <f>_xlfn.IFNA(VLOOKUP(ROW()-9,DAWorkings!$AT:$BI,5,FALSE),"")</f>
        <v/>
      </c>
      <c r="D38" s="462" t="str">
        <f>_xlfn.IFNA(VLOOKUP(ROW()-9,DAWorkings!$AT:$BI,6,FALSE),"")</f>
        <v/>
      </c>
      <c r="E38" s="462" t="str">
        <f>_xlfn.IFNA(VLOOKUP(ROW()-9,DAWorkings!$AT:$BI,3,FALSE),"")</f>
        <v/>
      </c>
      <c r="F38" s="462" t="str">
        <f>_xlfn.IFNA(VLOOKUP((VLOOKUP(ROW()-9,DAWorkings!$AT:$BI,4,FALSE)),DAWorkings!$AU$3:$AV$6,2,FALSE),"")</f>
        <v/>
      </c>
      <c r="G38" s="462" t="str">
        <f>_xlfn.IFNA(VLOOKUP(ROW()-9,DAWorkings!$AT:$BI,9,FALSE),"")</f>
        <v/>
      </c>
      <c r="H38" s="462" t="str">
        <f>_xlfn.IFNA(VLOOKUP(ROW()-9,DAWorkings!$AT:$BI,7,FALSE),"")</f>
        <v/>
      </c>
      <c r="I38" s="462" t="str">
        <f>IF(_xlfn.IFNA(VLOOKUP(ROW()-9,DAWorkings!$AT:$BI,8,FALSE),"")=0,"",_xlfn.IFNA(VLOOKUP(ROW()-9,DAWorkings!$AT:$BI,8,FALSE),""))</f>
        <v/>
      </c>
      <c r="J38" s="462" t="str">
        <f>IF(_xlfn.IFNA(VLOOKUP(ROW()-9,DAWorkings!$AT:$BI,12,FALSE),"")=0,"",_xlfn.IFNA(VLOOKUP(ROW()-9,DAWorkings!$AT:$BI,12,FALSE),""))</f>
        <v/>
      </c>
      <c r="K38" s="462" t="str">
        <f>IF(_xlfn.IFNA(VLOOKUP(ROW()-9,DAWorkings!$AT:$BI,13,FALSE),"")=0,"",_xlfn.IFNA(VLOOKUP(ROW()-9,DAWorkings!$AT:$BI,13,FALSE),""))</f>
        <v/>
      </c>
      <c r="L38" s="462" t="str">
        <f>IF(_xlfn.IFNA(VLOOKUP(ROW()-9,DAWorkings!$AT:$BI,10,FALSE),"")=0,"",_xlfn.IFNA(VLOOKUP(ROW()-9,DAWorkings!$AT:$BI,10,FALSE),""))</f>
        <v/>
      </c>
      <c r="M38" s="462" t="str">
        <f>IF(_xlfn.IFNA(VLOOKUP(ROW()-9,DAWorkings!$AT:$BI,10,FALSE),"")=0,"",_xlfn.IFNA(VLOOKUP(ROW()-9,DAWorkings!$AT:$BI,14,FALSE),""))</f>
        <v/>
      </c>
      <c r="N38" s="462" t="str">
        <f>_xlfn.IFNA(INDEX('Retention Schedule'!K:N,MATCH(VLOOKUP(ROW()-9,DAWorkings!$AT:$BI,11,FALSE),'Retention Schedule'!N:N,0),1),"")</f>
        <v/>
      </c>
      <c r="O38" s="462" t="str">
        <f>_xlfn.IFNA(VLOOKUP(ROW()-9,DAWorkings!$AT:$BI,15,FALSE),"")&amp;_xlfn.IFNA(IF(AND(VLOOKUP(ROW()-9,DAWorkings!$AT:$BJ,17,FALSE)="Yes(2)",VLOOKUP(ROW()-9,DAWorkings!$AT:$BI,15,FALSE)="Yes(1)")," &amp; ",""),"")&amp;IF(_xlfn.IFNA(VLOOKUP(ROW()-9,DAWorkings!$AT:$BJ,17,FALSE),"")=0,"",_xlfn.IFNA(VLOOKUP(ROW()-9,DAWorkings!$AT:$BJ,17,FALSE),""))</f>
        <v/>
      </c>
      <c r="P38" s="291" t="str">
        <f>IF(_xlfn.IFNA(VLOOKUP(ROW()-9,DAWorkings!$AT:$BI,10,FALSE),"")=0,"",_xlfn.IFNA(VLOOKUP(ROW()-9,DAWorkings!$AT:$BI,16,FALSE),""))</f>
        <v/>
      </c>
    </row>
    <row r="39" spans="1:16">
      <c r="A39" s="34"/>
      <c r="B39" s="462" t="str">
        <f>IF(_xlfn.IFNA(VLOOKUP(ROW()-9,DAWorkings!$AT:$BI,2,FALSE),"")=0,"",_xlfn.IFNA(VLOOKUP(ROW()-9,DAWorkings!$AT:$BI,2,FALSE),""))</f>
        <v/>
      </c>
      <c r="C39" s="462" t="str">
        <f>_xlfn.IFNA(VLOOKUP(ROW()-9,DAWorkings!$AT:$BI,5,FALSE),"")</f>
        <v/>
      </c>
      <c r="D39" s="462" t="str">
        <f>_xlfn.IFNA(VLOOKUP(ROW()-9,DAWorkings!$AT:$BI,6,FALSE),"")</f>
        <v/>
      </c>
      <c r="E39" s="462" t="str">
        <f>_xlfn.IFNA(VLOOKUP(ROW()-9,DAWorkings!$AT:$BI,3,FALSE),"")</f>
        <v/>
      </c>
      <c r="F39" s="462" t="str">
        <f>_xlfn.IFNA(VLOOKUP((VLOOKUP(ROW()-9,DAWorkings!$AT:$BI,4,FALSE)),DAWorkings!$AU$3:$AV$6,2,FALSE),"")</f>
        <v/>
      </c>
      <c r="G39" s="462" t="str">
        <f>_xlfn.IFNA(VLOOKUP(ROW()-9,DAWorkings!$AT:$BI,9,FALSE),"")</f>
        <v/>
      </c>
      <c r="H39" s="462" t="str">
        <f>_xlfn.IFNA(VLOOKUP(ROW()-9,DAWorkings!$AT:$BI,7,FALSE),"")</f>
        <v/>
      </c>
      <c r="I39" s="462" t="str">
        <f>IF(_xlfn.IFNA(VLOOKUP(ROW()-9,DAWorkings!$AT:$BI,8,FALSE),"")=0,"",_xlfn.IFNA(VLOOKUP(ROW()-9,DAWorkings!$AT:$BI,8,FALSE),""))</f>
        <v/>
      </c>
      <c r="J39" s="462" t="str">
        <f>IF(_xlfn.IFNA(VLOOKUP(ROW()-9,DAWorkings!$AT:$BI,12,FALSE),"")=0,"",_xlfn.IFNA(VLOOKUP(ROW()-9,DAWorkings!$AT:$BI,12,FALSE),""))</f>
        <v/>
      </c>
      <c r="K39" s="462" t="str">
        <f>IF(_xlfn.IFNA(VLOOKUP(ROW()-9,DAWorkings!$AT:$BI,13,FALSE),"")=0,"",_xlfn.IFNA(VLOOKUP(ROW()-9,DAWorkings!$AT:$BI,13,FALSE),""))</f>
        <v/>
      </c>
      <c r="L39" s="462" t="str">
        <f>IF(_xlfn.IFNA(VLOOKUP(ROW()-9,DAWorkings!$AT:$BI,10,FALSE),"")=0,"",_xlfn.IFNA(VLOOKUP(ROW()-9,DAWorkings!$AT:$BI,10,FALSE),""))</f>
        <v/>
      </c>
      <c r="M39" s="462" t="str">
        <f>IF(_xlfn.IFNA(VLOOKUP(ROW()-9,DAWorkings!$AT:$BI,10,FALSE),"")=0,"",_xlfn.IFNA(VLOOKUP(ROW()-9,DAWorkings!$AT:$BI,14,FALSE),""))</f>
        <v/>
      </c>
      <c r="N39" s="462" t="str">
        <f>_xlfn.IFNA(INDEX('Retention Schedule'!K:N,MATCH(VLOOKUP(ROW()-9,DAWorkings!$AT:$BI,11,FALSE),'Retention Schedule'!N:N,0),1),"")</f>
        <v/>
      </c>
      <c r="O39" s="462" t="str">
        <f>_xlfn.IFNA(VLOOKUP(ROW()-9,DAWorkings!$AT:$BI,15,FALSE),"")&amp;_xlfn.IFNA(IF(AND(VLOOKUP(ROW()-9,DAWorkings!$AT:$BJ,17,FALSE)="Yes(2)",VLOOKUP(ROW()-9,DAWorkings!$AT:$BI,15,FALSE)="Yes(1)")," &amp; ",""),"")&amp;IF(_xlfn.IFNA(VLOOKUP(ROW()-9,DAWorkings!$AT:$BJ,17,FALSE),"")=0,"",_xlfn.IFNA(VLOOKUP(ROW()-9,DAWorkings!$AT:$BJ,17,FALSE),""))</f>
        <v/>
      </c>
      <c r="P39" s="291" t="str">
        <f>IF(_xlfn.IFNA(VLOOKUP(ROW()-9,DAWorkings!$AT:$BI,10,FALSE),"")=0,"",_xlfn.IFNA(VLOOKUP(ROW()-9,DAWorkings!$AT:$BI,16,FALSE),""))</f>
        <v/>
      </c>
    </row>
    <row r="40" spans="1:16">
      <c r="A40" s="34"/>
      <c r="B40" s="462" t="str">
        <f>IF(_xlfn.IFNA(VLOOKUP(ROW()-9,DAWorkings!$AT:$BI,2,FALSE),"")=0,"",_xlfn.IFNA(VLOOKUP(ROW()-9,DAWorkings!$AT:$BI,2,FALSE),""))</f>
        <v/>
      </c>
      <c r="C40" s="462" t="str">
        <f>_xlfn.IFNA(VLOOKUP(ROW()-9,DAWorkings!$AT:$BI,5,FALSE),"")</f>
        <v/>
      </c>
      <c r="D40" s="462" t="str">
        <f>_xlfn.IFNA(VLOOKUP(ROW()-9,DAWorkings!$AT:$BI,6,FALSE),"")</f>
        <v/>
      </c>
      <c r="E40" s="462" t="str">
        <f>_xlfn.IFNA(VLOOKUP(ROW()-9,DAWorkings!$AT:$BI,3,FALSE),"")</f>
        <v/>
      </c>
      <c r="F40" s="462" t="str">
        <f>_xlfn.IFNA(VLOOKUP((VLOOKUP(ROW()-9,DAWorkings!$AT:$BI,4,FALSE)),DAWorkings!$AU$3:$AV$6,2,FALSE),"")</f>
        <v/>
      </c>
      <c r="G40" s="462" t="str">
        <f>_xlfn.IFNA(VLOOKUP(ROW()-9,DAWorkings!$AT:$BI,9,FALSE),"")</f>
        <v/>
      </c>
      <c r="H40" s="462" t="str">
        <f>_xlfn.IFNA(VLOOKUP(ROW()-9,DAWorkings!$AT:$BI,7,FALSE),"")</f>
        <v/>
      </c>
      <c r="I40" s="462" t="str">
        <f>IF(_xlfn.IFNA(VLOOKUP(ROW()-9,DAWorkings!$AT:$BI,8,FALSE),"")=0,"",_xlfn.IFNA(VLOOKUP(ROW()-9,DAWorkings!$AT:$BI,8,FALSE),""))</f>
        <v/>
      </c>
      <c r="J40" s="462" t="str">
        <f>IF(_xlfn.IFNA(VLOOKUP(ROW()-9,DAWorkings!$AT:$BI,12,FALSE),"")=0,"",_xlfn.IFNA(VLOOKUP(ROW()-9,DAWorkings!$AT:$BI,12,FALSE),""))</f>
        <v/>
      </c>
      <c r="K40" s="462" t="str">
        <f>IF(_xlfn.IFNA(VLOOKUP(ROW()-9,DAWorkings!$AT:$BI,13,FALSE),"")=0,"",_xlfn.IFNA(VLOOKUP(ROW()-9,DAWorkings!$AT:$BI,13,FALSE),""))</f>
        <v/>
      </c>
      <c r="L40" s="462" t="str">
        <f>IF(_xlfn.IFNA(VLOOKUP(ROW()-9,DAWorkings!$AT:$BI,10,FALSE),"")=0,"",_xlfn.IFNA(VLOOKUP(ROW()-9,DAWorkings!$AT:$BI,10,FALSE),""))</f>
        <v/>
      </c>
      <c r="M40" s="462" t="str">
        <f>IF(_xlfn.IFNA(VLOOKUP(ROW()-9,DAWorkings!$AT:$BI,10,FALSE),"")=0,"",_xlfn.IFNA(VLOOKUP(ROW()-9,DAWorkings!$AT:$BI,14,FALSE),""))</f>
        <v/>
      </c>
      <c r="N40" s="462" t="str">
        <f>_xlfn.IFNA(INDEX('Retention Schedule'!K:N,MATCH(VLOOKUP(ROW()-9,DAWorkings!$AT:$BI,11,FALSE),'Retention Schedule'!N:N,0),1),"")</f>
        <v/>
      </c>
      <c r="O40" s="462" t="str">
        <f>_xlfn.IFNA(VLOOKUP(ROW()-9,DAWorkings!$AT:$BI,15,FALSE),"")&amp;_xlfn.IFNA(IF(AND(VLOOKUP(ROW()-9,DAWorkings!$AT:$BJ,17,FALSE)="Yes(2)",VLOOKUP(ROW()-9,DAWorkings!$AT:$BI,15,FALSE)="Yes(1)")," &amp; ",""),"")&amp;IF(_xlfn.IFNA(VLOOKUP(ROW()-9,DAWorkings!$AT:$BJ,17,FALSE),"")=0,"",_xlfn.IFNA(VLOOKUP(ROW()-9,DAWorkings!$AT:$BJ,17,FALSE),""))</f>
        <v/>
      </c>
      <c r="P40" s="291" t="str">
        <f>IF(_xlfn.IFNA(VLOOKUP(ROW()-9,DAWorkings!$AT:$BI,10,FALSE),"")=0,"",_xlfn.IFNA(VLOOKUP(ROW()-9,DAWorkings!$AT:$BI,16,FALSE),""))</f>
        <v/>
      </c>
    </row>
    <row r="41" spans="1:16">
      <c r="A41" s="34"/>
      <c r="B41" s="462" t="str">
        <f>IF(_xlfn.IFNA(VLOOKUP(ROW()-9,DAWorkings!$AT:$BI,2,FALSE),"")=0,"",_xlfn.IFNA(VLOOKUP(ROW()-9,DAWorkings!$AT:$BI,2,FALSE),""))</f>
        <v/>
      </c>
      <c r="C41" s="462" t="str">
        <f>_xlfn.IFNA(VLOOKUP(ROW()-9,DAWorkings!$AT:$BI,5,FALSE),"")</f>
        <v/>
      </c>
      <c r="D41" s="462" t="str">
        <f>_xlfn.IFNA(VLOOKUP(ROW()-9,DAWorkings!$AT:$BI,6,FALSE),"")</f>
        <v/>
      </c>
      <c r="E41" s="462" t="str">
        <f>_xlfn.IFNA(VLOOKUP(ROW()-9,DAWorkings!$AT:$BI,3,FALSE),"")</f>
        <v/>
      </c>
      <c r="F41" s="462" t="str">
        <f>_xlfn.IFNA(VLOOKUP((VLOOKUP(ROW()-9,DAWorkings!$AT:$BI,4,FALSE)),DAWorkings!$AU$3:$AV$6,2,FALSE),"")</f>
        <v/>
      </c>
      <c r="G41" s="462" t="str">
        <f>_xlfn.IFNA(VLOOKUP(ROW()-9,DAWorkings!$AT:$BI,9,FALSE),"")</f>
        <v/>
      </c>
      <c r="H41" s="462" t="str">
        <f>_xlfn.IFNA(VLOOKUP(ROW()-9,DAWorkings!$AT:$BI,7,FALSE),"")</f>
        <v/>
      </c>
      <c r="I41" s="462" t="str">
        <f>IF(_xlfn.IFNA(VLOOKUP(ROW()-9,DAWorkings!$AT:$BI,8,FALSE),"")=0,"",_xlfn.IFNA(VLOOKUP(ROW()-9,DAWorkings!$AT:$BI,8,FALSE),""))</f>
        <v/>
      </c>
      <c r="J41" s="462" t="str">
        <f>IF(_xlfn.IFNA(VLOOKUP(ROW()-9,DAWorkings!$AT:$BI,12,FALSE),"")=0,"",_xlfn.IFNA(VLOOKUP(ROW()-9,DAWorkings!$AT:$BI,12,FALSE),""))</f>
        <v/>
      </c>
      <c r="K41" s="462" t="str">
        <f>IF(_xlfn.IFNA(VLOOKUP(ROW()-9,DAWorkings!$AT:$BI,13,FALSE),"")=0,"",_xlfn.IFNA(VLOOKUP(ROW()-9,DAWorkings!$AT:$BI,13,FALSE),""))</f>
        <v/>
      </c>
      <c r="L41" s="462" t="str">
        <f>IF(_xlfn.IFNA(VLOOKUP(ROW()-9,DAWorkings!$AT:$BI,10,FALSE),"")=0,"",_xlfn.IFNA(VLOOKUP(ROW()-9,DAWorkings!$AT:$BI,10,FALSE),""))</f>
        <v/>
      </c>
      <c r="M41" s="462" t="str">
        <f>IF(_xlfn.IFNA(VLOOKUP(ROW()-9,DAWorkings!$AT:$BI,10,FALSE),"")=0,"",_xlfn.IFNA(VLOOKUP(ROW()-9,DAWorkings!$AT:$BI,14,FALSE),""))</f>
        <v/>
      </c>
      <c r="N41" s="462" t="str">
        <f>_xlfn.IFNA(INDEX('Retention Schedule'!K:N,MATCH(VLOOKUP(ROW()-9,DAWorkings!$AT:$BI,11,FALSE),'Retention Schedule'!N:N,0),1),"")</f>
        <v/>
      </c>
      <c r="O41" s="462" t="str">
        <f>_xlfn.IFNA(VLOOKUP(ROW()-9,DAWorkings!$AT:$BI,15,FALSE),"")&amp;_xlfn.IFNA(IF(AND(VLOOKUP(ROW()-9,DAWorkings!$AT:$BJ,17,FALSE)="Yes(2)",VLOOKUP(ROW()-9,DAWorkings!$AT:$BI,15,FALSE)="Yes(1)")," &amp; ",""),"")&amp;IF(_xlfn.IFNA(VLOOKUP(ROW()-9,DAWorkings!$AT:$BJ,17,FALSE),"")=0,"",_xlfn.IFNA(VLOOKUP(ROW()-9,DAWorkings!$AT:$BJ,17,FALSE),""))</f>
        <v/>
      </c>
      <c r="P41" s="291" t="str">
        <f>IF(_xlfn.IFNA(VLOOKUP(ROW()-9,DAWorkings!$AT:$BI,10,FALSE),"")=0,"",_xlfn.IFNA(VLOOKUP(ROW()-9,DAWorkings!$AT:$BI,16,FALSE),""))</f>
        <v/>
      </c>
    </row>
    <row r="42" spans="1:16">
      <c r="A42" s="34"/>
      <c r="B42" s="462" t="str">
        <f>IF(_xlfn.IFNA(VLOOKUP(ROW()-9,DAWorkings!$AT:$BI,2,FALSE),"")=0,"",_xlfn.IFNA(VLOOKUP(ROW()-9,DAWorkings!$AT:$BI,2,FALSE),""))</f>
        <v/>
      </c>
      <c r="C42" s="462" t="str">
        <f>_xlfn.IFNA(VLOOKUP(ROW()-9,DAWorkings!$AT:$BI,5,FALSE),"")</f>
        <v/>
      </c>
      <c r="D42" s="462" t="str">
        <f>_xlfn.IFNA(VLOOKUP(ROW()-9,DAWorkings!$AT:$BI,6,FALSE),"")</f>
        <v/>
      </c>
      <c r="E42" s="462" t="str">
        <f>_xlfn.IFNA(VLOOKUP(ROW()-9,DAWorkings!$AT:$BI,3,FALSE),"")</f>
        <v/>
      </c>
      <c r="F42" s="462" t="str">
        <f>_xlfn.IFNA(VLOOKUP((VLOOKUP(ROW()-9,DAWorkings!$AT:$BI,4,FALSE)),DAWorkings!$AU$3:$AV$6,2,FALSE),"")</f>
        <v/>
      </c>
      <c r="G42" s="462" t="str">
        <f>_xlfn.IFNA(VLOOKUP(ROW()-9,DAWorkings!$AT:$BI,9,FALSE),"")</f>
        <v/>
      </c>
      <c r="H42" s="462" t="str">
        <f>_xlfn.IFNA(VLOOKUP(ROW()-9,DAWorkings!$AT:$BI,7,FALSE),"")</f>
        <v/>
      </c>
      <c r="I42" s="462" t="str">
        <f>IF(_xlfn.IFNA(VLOOKUP(ROW()-9,DAWorkings!$AT:$BI,8,FALSE),"")=0,"",_xlfn.IFNA(VLOOKUP(ROW()-9,DAWorkings!$AT:$BI,8,FALSE),""))</f>
        <v/>
      </c>
      <c r="J42" s="462" t="str">
        <f>IF(_xlfn.IFNA(VLOOKUP(ROW()-9,DAWorkings!$AT:$BI,12,FALSE),"")=0,"",_xlfn.IFNA(VLOOKUP(ROW()-9,DAWorkings!$AT:$BI,12,FALSE),""))</f>
        <v/>
      </c>
      <c r="K42" s="462" t="str">
        <f>IF(_xlfn.IFNA(VLOOKUP(ROW()-9,DAWorkings!$AT:$BI,13,FALSE),"")=0,"",_xlfn.IFNA(VLOOKUP(ROW()-9,DAWorkings!$AT:$BI,13,FALSE),""))</f>
        <v/>
      </c>
      <c r="L42" s="462" t="str">
        <f>IF(_xlfn.IFNA(VLOOKUP(ROW()-9,DAWorkings!$AT:$BI,10,FALSE),"")=0,"",_xlfn.IFNA(VLOOKUP(ROW()-9,DAWorkings!$AT:$BI,10,FALSE),""))</f>
        <v/>
      </c>
      <c r="M42" s="462" t="str">
        <f>IF(_xlfn.IFNA(VLOOKUP(ROW()-9,DAWorkings!$AT:$BI,10,FALSE),"")=0,"",_xlfn.IFNA(VLOOKUP(ROW()-9,DAWorkings!$AT:$BI,14,FALSE),""))</f>
        <v/>
      </c>
      <c r="N42" s="462" t="str">
        <f>_xlfn.IFNA(INDEX('Retention Schedule'!K:N,MATCH(VLOOKUP(ROW()-9,DAWorkings!$AT:$BI,11,FALSE),'Retention Schedule'!N:N,0),1),"")</f>
        <v/>
      </c>
      <c r="O42" s="462" t="str">
        <f>_xlfn.IFNA(VLOOKUP(ROW()-9,DAWorkings!$AT:$BI,15,FALSE),"")&amp;_xlfn.IFNA(IF(AND(VLOOKUP(ROW()-9,DAWorkings!$AT:$BJ,17,FALSE)="Yes(2)",VLOOKUP(ROW()-9,DAWorkings!$AT:$BI,15,FALSE)="Yes(1)")," &amp; ",""),"")&amp;IF(_xlfn.IFNA(VLOOKUP(ROW()-9,DAWorkings!$AT:$BJ,17,FALSE),"")=0,"",_xlfn.IFNA(VLOOKUP(ROW()-9,DAWorkings!$AT:$BJ,17,FALSE),""))</f>
        <v/>
      </c>
      <c r="P42" s="291" t="str">
        <f>IF(_xlfn.IFNA(VLOOKUP(ROW()-9,DAWorkings!$AT:$BI,10,FALSE),"")=0,"",_xlfn.IFNA(VLOOKUP(ROW()-9,DAWorkings!$AT:$BI,16,FALSE),""))</f>
        <v/>
      </c>
    </row>
    <row r="43" spans="1:16">
      <c r="A43" s="34"/>
      <c r="B43" s="462" t="str">
        <f>IF(_xlfn.IFNA(VLOOKUP(ROW()-9,DAWorkings!$AT:$BI,2,FALSE),"")=0,"",_xlfn.IFNA(VLOOKUP(ROW()-9,DAWorkings!$AT:$BI,2,FALSE),""))</f>
        <v/>
      </c>
      <c r="C43" s="462" t="str">
        <f>_xlfn.IFNA(VLOOKUP(ROW()-9,DAWorkings!$AT:$BI,5,FALSE),"")</f>
        <v/>
      </c>
      <c r="D43" s="462" t="str">
        <f>_xlfn.IFNA(VLOOKUP(ROW()-9,DAWorkings!$AT:$BI,6,FALSE),"")</f>
        <v/>
      </c>
      <c r="E43" s="462" t="str">
        <f>_xlfn.IFNA(VLOOKUP(ROW()-9,DAWorkings!$AT:$BI,3,FALSE),"")</f>
        <v/>
      </c>
      <c r="F43" s="462" t="str">
        <f>_xlfn.IFNA(VLOOKUP((VLOOKUP(ROW()-9,DAWorkings!$AT:$BI,4,FALSE)),DAWorkings!$AU$3:$AV$6,2,FALSE),"")</f>
        <v/>
      </c>
      <c r="G43" s="462" t="str">
        <f>_xlfn.IFNA(VLOOKUP(ROW()-9,DAWorkings!$AT:$BI,9,FALSE),"")</f>
        <v/>
      </c>
      <c r="H43" s="462" t="str">
        <f>_xlfn.IFNA(VLOOKUP(ROW()-9,DAWorkings!$AT:$BI,7,FALSE),"")</f>
        <v/>
      </c>
      <c r="I43" s="462" t="str">
        <f>IF(_xlfn.IFNA(VLOOKUP(ROW()-9,DAWorkings!$AT:$BI,8,FALSE),"")=0,"",_xlfn.IFNA(VLOOKUP(ROW()-9,DAWorkings!$AT:$BI,8,FALSE),""))</f>
        <v/>
      </c>
      <c r="J43" s="462" t="str">
        <f>IF(_xlfn.IFNA(VLOOKUP(ROW()-9,DAWorkings!$AT:$BI,12,FALSE),"")=0,"",_xlfn.IFNA(VLOOKUP(ROW()-9,DAWorkings!$AT:$BI,12,FALSE),""))</f>
        <v/>
      </c>
      <c r="K43" s="462" t="str">
        <f>IF(_xlfn.IFNA(VLOOKUP(ROW()-9,DAWorkings!$AT:$BI,13,FALSE),"")=0,"",_xlfn.IFNA(VLOOKUP(ROW()-9,DAWorkings!$AT:$BI,13,FALSE),""))</f>
        <v/>
      </c>
      <c r="L43" s="462" t="str">
        <f>IF(_xlfn.IFNA(VLOOKUP(ROW()-9,DAWorkings!$AT:$BI,10,FALSE),"")=0,"",_xlfn.IFNA(VLOOKUP(ROW()-9,DAWorkings!$AT:$BI,10,FALSE),""))</f>
        <v/>
      </c>
      <c r="M43" s="462" t="str">
        <f>IF(_xlfn.IFNA(VLOOKUP(ROW()-9,DAWorkings!$AT:$BI,10,FALSE),"")=0,"",_xlfn.IFNA(VLOOKUP(ROW()-9,DAWorkings!$AT:$BI,14,FALSE),""))</f>
        <v/>
      </c>
      <c r="N43" s="462" t="str">
        <f>_xlfn.IFNA(INDEX('Retention Schedule'!K:N,MATCH(VLOOKUP(ROW()-9,DAWorkings!$AT:$BI,11,FALSE),'Retention Schedule'!N:N,0),1),"")</f>
        <v/>
      </c>
      <c r="O43" s="462" t="str">
        <f>_xlfn.IFNA(VLOOKUP(ROW()-9,DAWorkings!$AT:$BI,15,FALSE),"")&amp;_xlfn.IFNA(IF(AND(VLOOKUP(ROW()-9,DAWorkings!$AT:$BJ,17,FALSE)="Yes(2)",VLOOKUP(ROW()-9,DAWorkings!$AT:$BI,15,FALSE)="Yes(1)")," &amp; ",""),"")&amp;IF(_xlfn.IFNA(VLOOKUP(ROW()-9,DAWorkings!$AT:$BJ,17,FALSE),"")=0,"",_xlfn.IFNA(VLOOKUP(ROW()-9,DAWorkings!$AT:$BJ,17,FALSE),""))</f>
        <v/>
      </c>
      <c r="P43" s="291" t="str">
        <f>IF(_xlfn.IFNA(VLOOKUP(ROW()-9,DAWorkings!$AT:$BI,10,FALSE),"")=0,"",_xlfn.IFNA(VLOOKUP(ROW()-9,DAWorkings!$AT:$BI,16,FALSE),""))</f>
        <v/>
      </c>
    </row>
    <row r="44" spans="1:16">
      <c r="A44" s="34"/>
      <c r="B44" s="462" t="str">
        <f>IF(_xlfn.IFNA(VLOOKUP(ROW()-9,DAWorkings!$AT:$BI,2,FALSE),"")=0,"",_xlfn.IFNA(VLOOKUP(ROW()-9,DAWorkings!$AT:$BI,2,FALSE),""))</f>
        <v/>
      </c>
      <c r="C44" s="462" t="str">
        <f>_xlfn.IFNA(VLOOKUP(ROW()-9,DAWorkings!$AT:$BI,5,FALSE),"")</f>
        <v/>
      </c>
      <c r="D44" s="462" t="str">
        <f>_xlfn.IFNA(VLOOKUP(ROW()-9,DAWorkings!$AT:$BI,6,FALSE),"")</f>
        <v/>
      </c>
      <c r="E44" s="462" t="str">
        <f>_xlfn.IFNA(VLOOKUP(ROW()-9,DAWorkings!$AT:$BI,3,FALSE),"")</f>
        <v/>
      </c>
      <c r="F44" s="462" t="str">
        <f>_xlfn.IFNA(VLOOKUP((VLOOKUP(ROW()-9,DAWorkings!$AT:$BI,4,FALSE)),DAWorkings!$AU$3:$AV$6,2,FALSE),"")</f>
        <v/>
      </c>
      <c r="G44" s="462" t="str">
        <f>_xlfn.IFNA(VLOOKUP(ROW()-9,DAWorkings!$AT:$BI,9,FALSE),"")</f>
        <v/>
      </c>
      <c r="H44" s="462" t="str">
        <f>_xlfn.IFNA(VLOOKUP(ROW()-9,DAWorkings!$AT:$BI,7,FALSE),"")</f>
        <v/>
      </c>
      <c r="I44" s="462" t="str">
        <f>IF(_xlfn.IFNA(VLOOKUP(ROW()-9,DAWorkings!$AT:$BI,8,FALSE),"")=0,"",_xlfn.IFNA(VLOOKUP(ROW()-9,DAWorkings!$AT:$BI,8,FALSE),""))</f>
        <v/>
      </c>
      <c r="J44" s="462" t="str">
        <f>IF(_xlfn.IFNA(VLOOKUP(ROW()-9,DAWorkings!$AT:$BI,12,FALSE),"")=0,"",_xlfn.IFNA(VLOOKUP(ROW()-9,DAWorkings!$AT:$BI,12,FALSE),""))</f>
        <v/>
      </c>
      <c r="K44" s="462" t="str">
        <f>IF(_xlfn.IFNA(VLOOKUP(ROW()-9,DAWorkings!$AT:$BI,13,FALSE),"")=0,"",_xlfn.IFNA(VLOOKUP(ROW()-9,DAWorkings!$AT:$BI,13,FALSE),""))</f>
        <v/>
      </c>
      <c r="L44" s="462" t="str">
        <f>IF(_xlfn.IFNA(VLOOKUP(ROW()-9,DAWorkings!$AT:$BI,10,FALSE),"")=0,"",_xlfn.IFNA(VLOOKUP(ROW()-9,DAWorkings!$AT:$BI,10,FALSE),""))</f>
        <v/>
      </c>
      <c r="M44" s="462" t="str">
        <f>IF(_xlfn.IFNA(VLOOKUP(ROW()-9,DAWorkings!$AT:$BI,10,FALSE),"")=0,"",_xlfn.IFNA(VLOOKUP(ROW()-9,DAWorkings!$AT:$BI,14,FALSE),""))</f>
        <v/>
      </c>
      <c r="N44" s="462" t="str">
        <f>_xlfn.IFNA(INDEX('Retention Schedule'!K:N,MATCH(VLOOKUP(ROW()-9,DAWorkings!$AT:$BI,11,FALSE),'Retention Schedule'!N:N,0),1),"")</f>
        <v/>
      </c>
      <c r="O44" s="462" t="str">
        <f>_xlfn.IFNA(VLOOKUP(ROW()-9,DAWorkings!$AT:$BI,15,FALSE),"")&amp;_xlfn.IFNA(IF(AND(VLOOKUP(ROW()-9,DAWorkings!$AT:$BJ,17,FALSE)="Yes(2)",VLOOKUP(ROW()-9,DAWorkings!$AT:$BI,15,FALSE)="Yes(1)")," &amp; ",""),"")&amp;IF(_xlfn.IFNA(VLOOKUP(ROW()-9,DAWorkings!$AT:$BJ,17,FALSE),"")=0,"",_xlfn.IFNA(VLOOKUP(ROW()-9,DAWorkings!$AT:$BJ,17,FALSE),""))</f>
        <v/>
      </c>
      <c r="P44" s="291" t="str">
        <f>IF(_xlfn.IFNA(VLOOKUP(ROW()-9,DAWorkings!$AT:$BI,10,FALSE),"")=0,"",_xlfn.IFNA(VLOOKUP(ROW()-9,DAWorkings!$AT:$BI,16,FALSE),""))</f>
        <v/>
      </c>
    </row>
    <row r="45" spans="1:16">
      <c r="A45" s="34"/>
      <c r="B45" s="462" t="str">
        <f>IF(_xlfn.IFNA(VLOOKUP(ROW()-9,DAWorkings!$AT:$BI,2,FALSE),"")=0,"",_xlfn.IFNA(VLOOKUP(ROW()-9,DAWorkings!$AT:$BI,2,FALSE),""))</f>
        <v/>
      </c>
      <c r="C45" s="462" t="str">
        <f>_xlfn.IFNA(VLOOKUP(ROW()-9,DAWorkings!$AT:$BI,5,FALSE),"")</f>
        <v/>
      </c>
      <c r="D45" s="462" t="str">
        <f>_xlfn.IFNA(VLOOKUP(ROW()-9,DAWorkings!$AT:$BI,6,FALSE),"")</f>
        <v/>
      </c>
      <c r="E45" s="462" t="str">
        <f>_xlfn.IFNA(VLOOKUP(ROW()-9,DAWorkings!$AT:$BI,3,FALSE),"")</f>
        <v/>
      </c>
      <c r="F45" s="462" t="str">
        <f>_xlfn.IFNA(VLOOKUP((VLOOKUP(ROW()-9,DAWorkings!$AT:$BI,4,FALSE)),DAWorkings!$AU$3:$AV$6,2,FALSE),"")</f>
        <v/>
      </c>
      <c r="G45" s="462" t="str">
        <f>_xlfn.IFNA(VLOOKUP(ROW()-9,DAWorkings!$AT:$BI,9,FALSE),"")</f>
        <v/>
      </c>
      <c r="H45" s="462" t="str">
        <f>_xlfn.IFNA(VLOOKUP(ROW()-9,DAWorkings!$AT:$BI,7,FALSE),"")</f>
        <v/>
      </c>
      <c r="I45" s="462" t="str">
        <f>IF(_xlfn.IFNA(VLOOKUP(ROW()-9,DAWorkings!$AT:$BI,8,FALSE),"")=0,"",_xlfn.IFNA(VLOOKUP(ROW()-9,DAWorkings!$AT:$BI,8,FALSE),""))</f>
        <v/>
      </c>
      <c r="J45" s="462" t="str">
        <f>IF(_xlfn.IFNA(VLOOKUP(ROW()-9,DAWorkings!$AT:$BI,12,FALSE),"")=0,"",_xlfn.IFNA(VLOOKUP(ROW()-9,DAWorkings!$AT:$BI,12,FALSE),""))</f>
        <v/>
      </c>
      <c r="K45" s="462" t="str">
        <f>IF(_xlfn.IFNA(VLOOKUP(ROW()-9,DAWorkings!$AT:$BI,13,FALSE),"")=0,"",_xlfn.IFNA(VLOOKUP(ROW()-9,DAWorkings!$AT:$BI,13,FALSE),""))</f>
        <v/>
      </c>
      <c r="L45" s="462" t="str">
        <f>IF(_xlfn.IFNA(VLOOKUP(ROW()-9,DAWorkings!$AT:$BI,10,FALSE),"")=0,"",_xlfn.IFNA(VLOOKUP(ROW()-9,DAWorkings!$AT:$BI,10,FALSE),""))</f>
        <v/>
      </c>
      <c r="M45" s="462" t="str">
        <f>IF(_xlfn.IFNA(VLOOKUP(ROW()-9,DAWorkings!$AT:$BI,10,FALSE),"")=0,"",_xlfn.IFNA(VLOOKUP(ROW()-9,DAWorkings!$AT:$BI,14,FALSE),""))</f>
        <v/>
      </c>
      <c r="N45" s="462" t="str">
        <f>_xlfn.IFNA(INDEX('Retention Schedule'!K:N,MATCH(VLOOKUP(ROW()-9,DAWorkings!$AT:$BI,11,FALSE),'Retention Schedule'!N:N,0),1),"")</f>
        <v/>
      </c>
      <c r="O45" s="462" t="str">
        <f>_xlfn.IFNA(VLOOKUP(ROW()-9,DAWorkings!$AT:$BI,15,FALSE),"")&amp;_xlfn.IFNA(IF(AND(VLOOKUP(ROW()-9,DAWorkings!$AT:$BJ,17,FALSE)="Yes(2)",VLOOKUP(ROW()-9,DAWorkings!$AT:$BI,15,FALSE)="Yes(1)")," &amp; ",""),"")&amp;IF(_xlfn.IFNA(VLOOKUP(ROW()-9,DAWorkings!$AT:$BJ,17,FALSE),"")=0,"",_xlfn.IFNA(VLOOKUP(ROW()-9,DAWorkings!$AT:$BJ,17,FALSE),""))</f>
        <v/>
      </c>
      <c r="P45" s="291" t="str">
        <f>IF(_xlfn.IFNA(VLOOKUP(ROW()-9,DAWorkings!$AT:$BI,10,FALSE),"")=0,"",_xlfn.IFNA(VLOOKUP(ROW()-9,DAWorkings!$AT:$BI,16,FALSE),""))</f>
        <v/>
      </c>
    </row>
    <row r="46" spans="1:16">
      <c r="A46" s="34"/>
      <c r="B46" s="462" t="str">
        <f>IF(_xlfn.IFNA(VLOOKUP(ROW()-9,DAWorkings!$AT:$BI,2,FALSE),"")=0,"",_xlfn.IFNA(VLOOKUP(ROW()-9,DAWorkings!$AT:$BI,2,FALSE),""))</f>
        <v/>
      </c>
      <c r="C46" s="462" t="str">
        <f>_xlfn.IFNA(VLOOKUP(ROW()-9,DAWorkings!$AT:$BI,5,FALSE),"")</f>
        <v/>
      </c>
      <c r="D46" s="462" t="str">
        <f>_xlfn.IFNA(VLOOKUP(ROW()-9,DAWorkings!$AT:$BI,6,FALSE),"")</f>
        <v/>
      </c>
      <c r="E46" s="462" t="str">
        <f>_xlfn.IFNA(VLOOKUP(ROW()-9,DAWorkings!$AT:$BI,3,FALSE),"")</f>
        <v/>
      </c>
      <c r="F46" s="462" t="str">
        <f>_xlfn.IFNA(VLOOKUP((VLOOKUP(ROW()-9,DAWorkings!$AT:$BI,4,FALSE)),DAWorkings!$AU$3:$AV$6,2,FALSE),"")</f>
        <v/>
      </c>
      <c r="G46" s="462" t="str">
        <f>_xlfn.IFNA(VLOOKUP(ROW()-9,DAWorkings!$AT:$BI,9,FALSE),"")</f>
        <v/>
      </c>
      <c r="H46" s="462" t="str">
        <f>_xlfn.IFNA(VLOOKUP(ROW()-9,DAWorkings!$AT:$BI,7,FALSE),"")</f>
        <v/>
      </c>
      <c r="I46" s="462" t="str">
        <f>IF(_xlfn.IFNA(VLOOKUP(ROW()-9,DAWorkings!$AT:$BI,8,FALSE),"")=0,"",_xlfn.IFNA(VLOOKUP(ROW()-9,DAWorkings!$AT:$BI,8,FALSE),""))</f>
        <v/>
      </c>
      <c r="J46" s="462" t="str">
        <f>IF(_xlfn.IFNA(VLOOKUP(ROW()-9,DAWorkings!$AT:$BI,12,FALSE),"")=0,"",_xlfn.IFNA(VLOOKUP(ROW()-9,DAWorkings!$AT:$BI,12,FALSE),""))</f>
        <v/>
      </c>
      <c r="K46" s="462" t="str">
        <f>IF(_xlfn.IFNA(VLOOKUP(ROW()-9,DAWorkings!$AT:$BI,13,FALSE),"")=0,"",_xlfn.IFNA(VLOOKUP(ROW()-9,DAWorkings!$AT:$BI,13,FALSE),""))</f>
        <v/>
      </c>
      <c r="L46" s="462" t="str">
        <f>IF(_xlfn.IFNA(VLOOKUP(ROW()-9,DAWorkings!$AT:$BI,10,FALSE),"")=0,"",_xlfn.IFNA(VLOOKUP(ROW()-9,DAWorkings!$AT:$BI,10,FALSE),""))</f>
        <v/>
      </c>
      <c r="M46" s="462" t="str">
        <f>IF(_xlfn.IFNA(VLOOKUP(ROW()-9,DAWorkings!$AT:$BI,10,FALSE),"")=0,"",_xlfn.IFNA(VLOOKUP(ROW()-9,DAWorkings!$AT:$BI,14,FALSE),""))</f>
        <v/>
      </c>
      <c r="N46" s="462" t="str">
        <f>_xlfn.IFNA(INDEX('Retention Schedule'!K:N,MATCH(VLOOKUP(ROW()-9,DAWorkings!$AT:$BI,11,FALSE),'Retention Schedule'!N:N,0),1),"")</f>
        <v/>
      </c>
      <c r="O46" s="462" t="str">
        <f>_xlfn.IFNA(VLOOKUP(ROW()-9,DAWorkings!$AT:$BI,15,FALSE),"")&amp;_xlfn.IFNA(IF(AND(VLOOKUP(ROW()-9,DAWorkings!$AT:$BJ,17,FALSE)="Yes(2)",VLOOKUP(ROW()-9,DAWorkings!$AT:$BI,15,FALSE)="Yes(1)")," &amp; ",""),"")&amp;IF(_xlfn.IFNA(VLOOKUP(ROW()-9,DAWorkings!$AT:$BJ,17,FALSE),"")=0,"",_xlfn.IFNA(VLOOKUP(ROW()-9,DAWorkings!$AT:$BJ,17,FALSE),""))</f>
        <v/>
      </c>
      <c r="P46" s="291" t="str">
        <f>IF(_xlfn.IFNA(VLOOKUP(ROW()-9,DAWorkings!$AT:$BI,10,FALSE),"")=0,"",_xlfn.IFNA(VLOOKUP(ROW()-9,DAWorkings!$AT:$BI,16,FALSE),""))</f>
        <v/>
      </c>
    </row>
    <row r="47" spans="1:16">
      <c r="A47" s="34"/>
      <c r="B47" s="462" t="str">
        <f>IF(_xlfn.IFNA(VLOOKUP(ROW()-9,DAWorkings!$AT:$BI,2,FALSE),"")=0,"",_xlfn.IFNA(VLOOKUP(ROW()-9,DAWorkings!$AT:$BI,2,FALSE),""))</f>
        <v/>
      </c>
      <c r="C47" s="462" t="str">
        <f>_xlfn.IFNA(VLOOKUP(ROW()-9,DAWorkings!$AT:$BI,5,FALSE),"")</f>
        <v/>
      </c>
      <c r="D47" s="462" t="str">
        <f>_xlfn.IFNA(VLOOKUP(ROW()-9,DAWorkings!$AT:$BI,6,FALSE),"")</f>
        <v/>
      </c>
      <c r="E47" s="462" t="str">
        <f>_xlfn.IFNA(VLOOKUP(ROW()-9,DAWorkings!$AT:$BI,3,FALSE),"")</f>
        <v/>
      </c>
      <c r="F47" s="462" t="str">
        <f>_xlfn.IFNA(VLOOKUP((VLOOKUP(ROW()-9,DAWorkings!$AT:$BI,4,FALSE)),DAWorkings!$AU$3:$AV$6,2,FALSE),"")</f>
        <v/>
      </c>
      <c r="G47" s="462" t="str">
        <f>_xlfn.IFNA(VLOOKUP(ROW()-9,DAWorkings!$AT:$BI,9,FALSE),"")</f>
        <v/>
      </c>
      <c r="H47" s="462" t="str">
        <f>_xlfn.IFNA(VLOOKUP(ROW()-9,DAWorkings!$AT:$BI,7,FALSE),"")</f>
        <v/>
      </c>
      <c r="I47" s="462" t="str">
        <f>IF(_xlfn.IFNA(VLOOKUP(ROW()-9,DAWorkings!$AT:$BI,8,FALSE),"")=0,"",_xlfn.IFNA(VLOOKUP(ROW()-9,DAWorkings!$AT:$BI,8,FALSE),""))</f>
        <v/>
      </c>
      <c r="J47" s="462" t="str">
        <f>IF(_xlfn.IFNA(VLOOKUP(ROW()-9,DAWorkings!$AT:$BI,12,FALSE),"")=0,"",_xlfn.IFNA(VLOOKUP(ROW()-9,DAWorkings!$AT:$BI,12,FALSE),""))</f>
        <v/>
      </c>
      <c r="K47" s="462" t="str">
        <f>IF(_xlfn.IFNA(VLOOKUP(ROW()-9,DAWorkings!$AT:$BI,13,FALSE),"")=0,"",_xlfn.IFNA(VLOOKUP(ROW()-9,DAWorkings!$AT:$BI,13,FALSE),""))</f>
        <v/>
      </c>
      <c r="L47" s="462" t="str">
        <f>IF(_xlfn.IFNA(VLOOKUP(ROW()-9,DAWorkings!$AT:$BI,10,FALSE),"")=0,"",_xlfn.IFNA(VLOOKUP(ROW()-9,DAWorkings!$AT:$BI,10,FALSE),""))</f>
        <v/>
      </c>
      <c r="M47" s="462" t="str">
        <f>IF(_xlfn.IFNA(VLOOKUP(ROW()-9,DAWorkings!$AT:$BI,10,FALSE),"")=0,"",_xlfn.IFNA(VLOOKUP(ROW()-9,DAWorkings!$AT:$BI,14,FALSE),""))</f>
        <v/>
      </c>
      <c r="N47" s="462" t="str">
        <f>_xlfn.IFNA(INDEX('Retention Schedule'!K:N,MATCH(VLOOKUP(ROW()-9,DAWorkings!$AT:$BI,11,FALSE),'Retention Schedule'!N:N,0),1),"")</f>
        <v/>
      </c>
      <c r="O47" s="462" t="str">
        <f>_xlfn.IFNA(VLOOKUP(ROW()-9,DAWorkings!$AT:$BI,15,FALSE),"")&amp;_xlfn.IFNA(IF(AND(VLOOKUP(ROW()-9,DAWorkings!$AT:$BJ,17,FALSE)="Yes(2)",VLOOKUP(ROW()-9,DAWorkings!$AT:$BI,15,FALSE)="Yes(1)")," &amp; ",""),"")&amp;IF(_xlfn.IFNA(VLOOKUP(ROW()-9,DAWorkings!$AT:$BJ,17,FALSE),"")=0,"",_xlfn.IFNA(VLOOKUP(ROW()-9,DAWorkings!$AT:$BJ,17,FALSE),""))</f>
        <v/>
      </c>
      <c r="P47" s="291" t="str">
        <f>IF(_xlfn.IFNA(VLOOKUP(ROW()-9,DAWorkings!$AT:$BI,10,FALSE),"")=0,"",_xlfn.IFNA(VLOOKUP(ROW()-9,DAWorkings!$AT:$BI,16,FALSE),""))</f>
        <v/>
      </c>
    </row>
    <row r="48" spans="1:16">
      <c r="A48" s="34"/>
      <c r="B48" s="462" t="str">
        <f>IF(_xlfn.IFNA(VLOOKUP(ROW()-9,DAWorkings!$AT:$BI,2,FALSE),"")=0,"",_xlfn.IFNA(VLOOKUP(ROW()-9,DAWorkings!$AT:$BI,2,FALSE),""))</f>
        <v/>
      </c>
      <c r="C48" s="462" t="str">
        <f>_xlfn.IFNA(VLOOKUP(ROW()-9,DAWorkings!$AT:$BI,5,FALSE),"")</f>
        <v/>
      </c>
      <c r="D48" s="462" t="str">
        <f>_xlfn.IFNA(VLOOKUP(ROW()-9,DAWorkings!$AT:$BI,6,FALSE),"")</f>
        <v/>
      </c>
      <c r="E48" s="462" t="str">
        <f>_xlfn.IFNA(VLOOKUP(ROW()-9,DAWorkings!$AT:$BI,3,FALSE),"")</f>
        <v/>
      </c>
      <c r="F48" s="462" t="str">
        <f>_xlfn.IFNA(VLOOKUP((VLOOKUP(ROW()-9,DAWorkings!$AT:$BI,4,FALSE)),DAWorkings!$AU$3:$AV$6,2,FALSE),"")</f>
        <v/>
      </c>
      <c r="G48" s="462" t="str">
        <f>_xlfn.IFNA(VLOOKUP(ROW()-9,DAWorkings!$AT:$BI,9,FALSE),"")</f>
        <v/>
      </c>
      <c r="H48" s="462" t="str">
        <f>_xlfn.IFNA(VLOOKUP(ROW()-9,DAWorkings!$AT:$BI,7,FALSE),"")</f>
        <v/>
      </c>
      <c r="I48" s="462" t="str">
        <f>IF(_xlfn.IFNA(VLOOKUP(ROW()-9,DAWorkings!$AT:$BI,8,FALSE),"")=0,"",_xlfn.IFNA(VLOOKUP(ROW()-9,DAWorkings!$AT:$BI,8,FALSE),""))</f>
        <v/>
      </c>
      <c r="J48" s="462" t="str">
        <f>IF(_xlfn.IFNA(VLOOKUP(ROW()-9,DAWorkings!$AT:$BI,12,FALSE),"")=0,"",_xlfn.IFNA(VLOOKUP(ROW()-9,DAWorkings!$AT:$BI,12,FALSE),""))</f>
        <v/>
      </c>
      <c r="K48" s="462" t="str">
        <f>IF(_xlfn.IFNA(VLOOKUP(ROW()-9,DAWorkings!$AT:$BI,13,FALSE),"")=0,"",_xlfn.IFNA(VLOOKUP(ROW()-9,DAWorkings!$AT:$BI,13,FALSE),""))</f>
        <v/>
      </c>
      <c r="L48" s="462" t="str">
        <f>IF(_xlfn.IFNA(VLOOKUP(ROW()-9,DAWorkings!$AT:$BI,10,FALSE),"")=0,"",_xlfn.IFNA(VLOOKUP(ROW()-9,DAWorkings!$AT:$BI,10,FALSE),""))</f>
        <v/>
      </c>
      <c r="M48" s="462" t="str">
        <f>IF(_xlfn.IFNA(VLOOKUP(ROW()-9,DAWorkings!$AT:$BI,10,FALSE),"")=0,"",_xlfn.IFNA(VLOOKUP(ROW()-9,DAWorkings!$AT:$BI,14,FALSE),""))</f>
        <v/>
      </c>
      <c r="N48" s="462" t="str">
        <f>_xlfn.IFNA(INDEX('Retention Schedule'!K:N,MATCH(VLOOKUP(ROW()-9,DAWorkings!$AT:$BI,11,FALSE),'Retention Schedule'!N:N,0),1),"")</f>
        <v/>
      </c>
      <c r="O48" s="462" t="str">
        <f>_xlfn.IFNA(VLOOKUP(ROW()-9,DAWorkings!$AT:$BI,15,FALSE),"")&amp;_xlfn.IFNA(IF(AND(VLOOKUP(ROW()-9,DAWorkings!$AT:$BJ,17,FALSE)="Yes(2)",VLOOKUP(ROW()-9,DAWorkings!$AT:$BI,15,FALSE)="Yes(1)")," &amp; ",""),"")&amp;IF(_xlfn.IFNA(VLOOKUP(ROW()-9,DAWorkings!$AT:$BJ,17,FALSE),"")=0,"",_xlfn.IFNA(VLOOKUP(ROW()-9,DAWorkings!$AT:$BJ,17,FALSE),""))</f>
        <v/>
      </c>
      <c r="P48" s="291" t="str">
        <f>IF(_xlfn.IFNA(VLOOKUP(ROW()-9,DAWorkings!$AT:$BI,10,FALSE),"")=0,"",_xlfn.IFNA(VLOOKUP(ROW()-9,DAWorkings!$AT:$BI,16,FALSE),""))</f>
        <v/>
      </c>
    </row>
    <row r="49" spans="1:16">
      <c r="A49" s="34"/>
      <c r="B49" s="462" t="str">
        <f>IF(_xlfn.IFNA(VLOOKUP(ROW()-9,DAWorkings!$AT:$BI,2,FALSE),"")=0,"",_xlfn.IFNA(VLOOKUP(ROW()-9,DAWorkings!$AT:$BI,2,FALSE),""))</f>
        <v/>
      </c>
      <c r="C49" s="462" t="str">
        <f>_xlfn.IFNA(VLOOKUP(ROW()-9,DAWorkings!$AT:$BI,5,FALSE),"")</f>
        <v/>
      </c>
      <c r="D49" s="462" t="str">
        <f>_xlfn.IFNA(VLOOKUP(ROW()-9,DAWorkings!$AT:$BI,6,FALSE),"")</f>
        <v/>
      </c>
      <c r="E49" s="462" t="str">
        <f>_xlfn.IFNA(VLOOKUP(ROW()-9,DAWorkings!$AT:$BI,3,FALSE),"")</f>
        <v/>
      </c>
      <c r="F49" s="462" t="str">
        <f>_xlfn.IFNA(VLOOKUP((VLOOKUP(ROW()-9,DAWorkings!$AT:$BI,4,FALSE)),DAWorkings!$AU$3:$AV$6,2,FALSE),"")</f>
        <v/>
      </c>
      <c r="G49" s="462" t="str">
        <f>_xlfn.IFNA(VLOOKUP(ROW()-9,DAWorkings!$AT:$BI,9,FALSE),"")</f>
        <v/>
      </c>
      <c r="H49" s="462" t="str">
        <f>_xlfn.IFNA(VLOOKUP(ROW()-9,DAWorkings!$AT:$BI,7,FALSE),"")</f>
        <v/>
      </c>
      <c r="I49" s="462" t="str">
        <f>IF(_xlfn.IFNA(VLOOKUP(ROW()-9,DAWorkings!$AT:$BI,8,FALSE),"")=0,"",_xlfn.IFNA(VLOOKUP(ROW()-9,DAWorkings!$AT:$BI,8,FALSE),""))</f>
        <v/>
      </c>
      <c r="J49" s="462" t="str">
        <f>IF(_xlfn.IFNA(VLOOKUP(ROW()-9,DAWorkings!$AT:$BI,12,FALSE),"")=0,"",_xlfn.IFNA(VLOOKUP(ROW()-9,DAWorkings!$AT:$BI,12,FALSE),""))</f>
        <v/>
      </c>
      <c r="K49" s="462" t="str">
        <f>IF(_xlfn.IFNA(VLOOKUP(ROW()-9,DAWorkings!$AT:$BI,13,FALSE),"")=0,"",_xlfn.IFNA(VLOOKUP(ROW()-9,DAWorkings!$AT:$BI,13,FALSE),""))</f>
        <v/>
      </c>
      <c r="L49" s="462" t="str">
        <f>IF(_xlfn.IFNA(VLOOKUP(ROW()-9,DAWorkings!$AT:$BI,10,FALSE),"")=0,"",_xlfn.IFNA(VLOOKUP(ROW()-9,DAWorkings!$AT:$BI,10,FALSE),""))</f>
        <v/>
      </c>
      <c r="M49" s="462" t="str">
        <f>IF(_xlfn.IFNA(VLOOKUP(ROW()-9,DAWorkings!$AT:$BI,10,FALSE),"")=0,"",_xlfn.IFNA(VLOOKUP(ROW()-9,DAWorkings!$AT:$BI,14,FALSE),""))</f>
        <v/>
      </c>
      <c r="N49" s="462" t="str">
        <f>_xlfn.IFNA(INDEX('Retention Schedule'!K:N,MATCH(VLOOKUP(ROW()-9,DAWorkings!$AT:$BI,11,FALSE),'Retention Schedule'!N:N,0),1),"")</f>
        <v/>
      </c>
      <c r="O49" s="462" t="str">
        <f>_xlfn.IFNA(VLOOKUP(ROW()-9,DAWorkings!$AT:$BI,15,FALSE),"")&amp;_xlfn.IFNA(IF(AND(VLOOKUP(ROW()-9,DAWorkings!$AT:$BJ,17,FALSE)="Yes(2)",VLOOKUP(ROW()-9,DAWorkings!$AT:$BI,15,FALSE)="Yes(1)")," &amp; ",""),"")&amp;IF(_xlfn.IFNA(VLOOKUP(ROW()-9,DAWorkings!$AT:$BJ,17,FALSE),"")=0,"",_xlfn.IFNA(VLOOKUP(ROW()-9,DAWorkings!$AT:$BJ,17,FALSE),""))</f>
        <v/>
      </c>
      <c r="P49" s="291" t="str">
        <f>IF(_xlfn.IFNA(VLOOKUP(ROW()-9,DAWorkings!$AT:$BI,10,FALSE),"")=0,"",_xlfn.IFNA(VLOOKUP(ROW()-9,DAWorkings!$AT:$BI,16,FALSE),""))</f>
        <v/>
      </c>
    </row>
    <row r="50" spans="1:16">
      <c r="A50" s="34"/>
      <c r="B50" s="462" t="str">
        <f>IF(_xlfn.IFNA(VLOOKUP(ROW()-9,DAWorkings!$AT:$BI,2,FALSE),"")=0,"",_xlfn.IFNA(VLOOKUP(ROW()-9,DAWorkings!$AT:$BI,2,FALSE),""))</f>
        <v/>
      </c>
      <c r="C50" s="462" t="str">
        <f>_xlfn.IFNA(VLOOKUP(ROW()-9,DAWorkings!$AT:$BI,5,FALSE),"")</f>
        <v/>
      </c>
      <c r="D50" s="462" t="str">
        <f>_xlfn.IFNA(VLOOKUP(ROW()-9,DAWorkings!$AT:$BI,6,FALSE),"")</f>
        <v/>
      </c>
      <c r="E50" s="462" t="str">
        <f>_xlfn.IFNA(VLOOKUP(ROW()-9,DAWorkings!$AT:$BI,3,FALSE),"")</f>
        <v/>
      </c>
      <c r="F50" s="462" t="str">
        <f>_xlfn.IFNA(VLOOKUP((VLOOKUP(ROW()-9,DAWorkings!$AT:$BI,4,FALSE)),DAWorkings!$AU$3:$AV$6,2,FALSE),"")</f>
        <v/>
      </c>
      <c r="G50" s="462" t="str">
        <f>_xlfn.IFNA(VLOOKUP(ROW()-9,DAWorkings!$AT:$BI,9,FALSE),"")</f>
        <v/>
      </c>
      <c r="H50" s="462" t="str">
        <f>_xlfn.IFNA(VLOOKUP(ROW()-9,DAWorkings!$AT:$BI,7,FALSE),"")</f>
        <v/>
      </c>
      <c r="I50" s="462" t="str">
        <f>IF(_xlfn.IFNA(VLOOKUP(ROW()-9,DAWorkings!$AT:$BI,8,FALSE),"")=0,"",_xlfn.IFNA(VLOOKUP(ROW()-9,DAWorkings!$AT:$BI,8,FALSE),""))</f>
        <v/>
      </c>
      <c r="J50" s="462" t="str">
        <f>IF(_xlfn.IFNA(VLOOKUP(ROW()-9,DAWorkings!$AT:$BI,12,FALSE),"")=0,"",_xlfn.IFNA(VLOOKUP(ROW()-9,DAWorkings!$AT:$BI,12,FALSE),""))</f>
        <v/>
      </c>
      <c r="K50" s="462" t="str">
        <f>IF(_xlfn.IFNA(VLOOKUP(ROW()-9,DAWorkings!$AT:$BI,13,FALSE),"")=0,"",_xlfn.IFNA(VLOOKUP(ROW()-9,DAWorkings!$AT:$BI,13,FALSE),""))</f>
        <v/>
      </c>
      <c r="L50" s="462" t="str">
        <f>IF(_xlfn.IFNA(VLOOKUP(ROW()-9,DAWorkings!$AT:$BI,10,FALSE),"")=0,"",_xlfn.IFNA(VLOOKUP(ROW()-9,DAWorkings!$AT:$BI,10,FALSE),""))</f>
        <v/>
      </c>
      <c r="M50" s="462" t="str">
        <f>IF(_xlfn.IFNA(VLOOKUP(ROW()-9,DAWorkings!$AT:$BI,10,FALSE),"")=0,"",_xlfn.IFNA(VLOOKUP(ROW()-9,DAWorkings!$AT:$BI,14,FALSE),""))</f>
        <v/>
      </c>
      <c r="N50" s="462" t="str">
        <f>_xlfn.IFNA(INDEX('Retention Schedule'!K:N,MATCH(VLOOKUP(ROW()-9,DAWorkings!$AT:$BI,11,FALSE),'Retention Schedule'!N:N,0),1),"")</f>
        <v/>
      </c>
      <c r="O50" s="462" t="str">
        <f>_xlfn.IFNA(VLOOKUP(ROW()-9,DAWorkings!$AT:$BI,15,FALSE),"")&amp;_xlfn.IFNA(IF(AND(VLOOKUP(ROW()-9,DAWorkings!$AT:$BJ,17,FALSE)="Yes(2)",VLOOKUP(ROW()-9,DAWorkings!$AT:$BI,15,FALSE)="Yes(1)")," &amp; ",""),"")&amp;IF(_xlfn.IFNA(VLOOKUP(ROW()-9,DAWorkings!$AT:$BJ,17,FALSE),"")=0,"",_xlfn.IFNA(VLOOKUP(ROW()-9,DAWorkings!$AT:$BJ,17,FALSE),""))</f>
        <v/>
      </c>
      <c r="P50" s="291" t="str">
        <f>IF(_xlfn.IFNA(VLOOKUP(ROW()-9,DAWorkings!$AT:$BI,10,FALSE),"")=0,"",_xlfn.IFNA(VLOOKUP(ROW()-9,DAWorkings!$AT:$BI,16,FALSE),""))</f>
        <v/>
      </c>
    </row>
    <row r="51" spans="1:16">
      <c r="A51" s="34"/>
      <c r="B51" s="462" t="str">
        <f>IF(_xlfn.IFNA(VLOOKUP(ROW()-9,DAWorkings!$AT:$BI,2,FALSE),"")=0,"",_xlfn.IFNA(VLOOKUP(ROW()-9,DAWorkings!$AT:$BI,2,FALSE),""))</f>
        <v/>
      </c>
      <c r="C51" s="462" t="str">
        <f>_xlfn.IFNA(VLOOKUP(ROW()-9,DAWorkings!$AT:$BI,5,FALSE),"")</f>
        <v/>
      </c>
      <c r="D51" s="462" t="str">
        <f>_xlfn.IFNA(VLOOKUP(ROW()-9,DAWorkings!$AT:$BI,6,FALSE),"")</f>
        <v/>
      </c>
      <c r="E51" s="462" t="str">
        <f>_xlfn.IFNA(VLOOKUP(ROW()-9,DAWorkings!$AT:$BI,3,FALSE),"")</f>
        <v/>
      </c>
      <c r="F51" s="462" t="str">
        <f>_xlfn.IFNA(VLOOKUP((VLOOKUP(ROW()-9,DAWorkings!$AT:$BI,4,FALSE)),DAWorkings!$AU$3:$AV$6,2,FALSE),"")</f>
        <v/>
      </c>
      <c r="G51" s="462" t="str">
        <f>_xlfn.IFNA(VLOOKUP(ROW()-9,DAWorkings!$AT:$BI,9,FALSE),"")</f>
        <v/>
      </c>
      <c r="H51" s="462" t="str">
        <f>_xlfn.IFNA(VLOOKUP(ROW()-9,DAWorkings!$AT:$BI,7,FALSE),"")</f>
        <v/>
      </c>
      <c r="I51" s="462" t="str">
        <f>IF(_xlfn.IFNA(VLOOKUP(ROW()-9,DAWorkings!$AT:$BI,8,FALSE),"")=0,"",_xlfn.IFNA(VLOOKUP(ROW()-9,DAWorkings!$AT:$BI,8,FALSE),""))</f>
        <v/>
      </c>
      <c r="J51" s="462" t="str">
        <f>IF(_xlfn.IFNA(VLOOKUP(ROW()-9,DAWorkings!$AT:$BI,12,FALSE),"")=0,"",_xlfn.IFNA(VLOOKUP(ROW()-9,DAWorkings!$AT:$BI,12,FALSE),""))</f>
        <v/>
      </c>
      <c r="K51" s="462" t="str">
        <f>IF(_xlfn.IFNA(VLOOKUP(ROW()-9,DAWorkings!$AT:$BI,13,FALSE),"")=0,"",_xlfn.IFNA(VLOOKUP(ROW()-9,DAWorkings!$AT:$BI,13,FALSE),""))</f>
        <v/>
      </c>
      <c r="L51" s="462" t="str">
        <f>IF(_xlfn.IFNA(VLOOKUP(ROW()-9,DAWorkings!$AT:$BI,10,FALSE),"")=0,"",_xlfn.IFNA(VLOOKUP(ROW()-9,DAWorkings!$AT:$BI,10,FALSE),""))</f>
        <v/>
      </c>
      <c r="M51" s="462" t="str">
        <f>IF(_xlfn.IFNA(VLOOKUP(ROW()-9,DAWorkings!$AT:$BI,10,FALSE),"")=0,"",_xlfn.IFNA(VLOOKUP(ROW()-9,DAWorkings!$AT:$BI,14,FALSE),""))</f>
        <v/>
      </c>
      <c r="N51" s="462" t="str">
        <f>_xlfn.IFNA(INDEX('Retention Schedule'!K:N,MATCH(VLOOKUP(ROW()-9,DAWorkings!$AT:$BI,11,FALSE),'Retention Schedule'!N:N,0),1),"")</f>
        <v/>
      </c>
      <c r="O51" s="462" t="str">
        <f>_xlfn.IFNA(VLOOKUP(ROW()-9,DAWorkings!$AT:$BI,15,FALSE),"")&amp;_xlfn.IFNA(IF(AND(VLOOKUP(ROW()-9,DAWorkings!$AT:$BJ,17,FALSE)="Yes(2)",VLOOKUP(ROW()-9,DAWorkings!$AT:$BI,15,FALSE)="Yes(1)")," &amp; ",""),"")&amp;IF(_xlfn.IFNA(VLOOKUP(ROW()-9,DAWorkings!$AT:$BJ,17,FALSE),"")=0,"",_xlfn.IFNA(VLOOKUP(ROW()-9,DAWorkings!$AT:$BJ,17,FALSE),""))</f>
        <v/>
      </c>
      <c r="P51" s="291" t="str">
        <f>IF(_xlfn.IFNA(VLOOKUP(ROW()-9,DAWorkings!$AT:$BI,10,FALSE),"")=0,"",_xlfn.IFNA(VLOOKUP(ROW()-9,DAWorkings!$AT:$BI,16,FALSE),""))</f>
        <v/>
      </c>
    </row>
    <row r="52" spans="1:16">
      <c r="A52" s="34"/>
      <c r="B52" s="462" t="str">
        <f>IF(_xlfn.IFNA(VLOOKUP(ROW()-9,DAWorkings!$AT:$BI,2,FALSE),"")=0,"",_xlfn.IFNA(VLOOKUP(ROW()-9,DAWorkings!$AT:$BI,2,FALSE),""))</f>
        <v/>
      </c>
      <c r="C52" s="462" t="str">
        <f>_xlfn.IFNA(VLOOKUP(ROW()-9,DAWorkings!$AT:$BI,5,FALSE),"")</f>
        <v/>
      </c>
      <c r="D52" s="462" t="str">
        <f>_xlfn.IFNA(VLOOKUP(ROW()-9,DAWorkings!$AT:$BI,6,FALSE),"")</f>
        <v/>
      </c>
      <c r="E52" s="462" t="str">
        <f>_xlfn.IFNA(VLOOKUP(ROW()-9,DAWorkings!$AT:$BI,3,FALSE),"")</f>
        <v/>
      </c>
      <c r="F52" s="462" t="str">
        <f>_xlfn.IFNA(VLOOKUP((VLOOKUP(ROW()-9,DAWorkings!$AT:$BI,4,FALSE)),DAWorkings!$AU$3:$AV$6,2,FALSE),"")</f>
        <v/>
      </c>
      <c r="G52" s="462" t="str">
        <f>_xlfn.IFNA(VLOOKUP(ROW()-9,DAWorkings!$AT:$BI,9,FALSE),"")</f>
        <v/>
      </c>
      <c r="H52" s="462" t="str">
        <f>_xlfn.IFNA(VLOOKUP(ROW()-9,DAWorkings!$AT:$BI,7,FALSE),"")</f>
        <v/>
      </c>
      <c r="I52" s="462" t="str">
        <f>IF(_xlfn.IFNA(VLOOKUP(ROW()-9,DAWorkings!$AT:$BI,8,FALSE),"")=0,"",_xlfn.IFNA(VLOOKUP(ROW()-9,DAWorkings!$AT:$BI,8,FALSE),""))</f>
        <v/>
      </c>
      <c r="J52" s="462" t="str">
        <f>IF(_xlfn.IFNA(VLOOKUP(ROW()-9,DAWorkings!$AT:$BI,12,FALSE),"")=0,"",_xlfn.IFNA(VLOOKUP(ROW()-9,DAWorkings!$AT:$BI,12,FALSE),""))</f>
        <v/>
      </c>
      <c r="K52" s="462" t="str">
        <f>IF(_xlfn.IFNA(VLOOKUP(ROW()-9,DAWorkings!$AT:$BI,13,FALSE),"")=0,"",_xlfn.IFNA(VLOOKUP(ROW()-9,DAWorkings!$AT:$BI,13,FALSE),""))</f>
        <v/>
      </c>
      <c r="L52" s="462" t="str">
        <f>IF(_xlfn.IFNA(VLOOKUP(ROW()-9,DAWorkings!$AT:$BI,10,FALSE),"")=0,"",_xlfn.IFNA(VLOOKUP(ROW()-9,DAWorkings!$AT:$BI,10,FALSE),""))</f>
        <v/>
      </c>
      <c r="M52" s="462" t="str">
        <f>IF(_xlfn.IFNA(VLOOKUP(ROW()-9,DAWorkings!$AT:$BI,10,FALSE),"")=0,"",_xlfn.IFNA(VLOOKUP(ROW()-9,DAWorkings!$AT:$BI,14,FALSE),""))</f>
        <v/>
      </c>
      <c r="N52" s="462" t="str">
        <f>_xlfn.IFNA(INDEX('Retention Schedule'!K:N,MATCH(VLOOKUP(ROW()-9,DAWorkings!$AT:$BI,11,FALSE),'Retention Schedule'!N:N,0),1),"")</f>
        <v/>
      </c>
      <c r="O52" s="462" t="str">
        <f>_xlfn.IFNA(VLOOKUP(ROW()-9,DAWorkings!$AT:$BI,15,FALSE),"")&amp;_xlfn.IFNA(IF(AND(VLOOKUP(ROW()-9,DAWorkings!$AT:$BJ,17,FALSE)="Yes(2)",VLOOKUP(ROW()-9,DAWorkings!$AT:$BI,15,FALSE)="Yes(1)")," &amp; ",""),"")&amp;IF(_xlfn.IFNA(VLOOKUP(ROW()-9,DAWorkings!$AT:$BJ,17,FALSE),"")=0,"",_xlfn.IFNA(VLOOKUP(ROW()-9,DAWorkings!$AT:$BJ,17,FALSE),""))</f>
        <v/>
      </c>
      <c r="P52" s="291" t="str">
        <f>IF(_xlfn.IFNA(VLOOKUP(ROW()-9,DAWorkings!$AT:$BI,10,FALSE),"")=0,"",_xlfn.IFNA(VLOOKUP(ROW()-9,DAWorkings!$AT:$BI,16,FALSE),""))</f>
        <v/>
      </c>
    </row>
    <row r="53" spans="1:16">
      <c r="A53" s="34"/>
      <c r="B53" s="462" t="str">
        <f>IF(_xlfn.IFNA(VLOOKUP(ROW()-9,DAWorkings!$AT:$BI,2,FALSE),"")=0,"",_xlfn.IFNA(VLOOKUP(ROW()-9,DAWorkings!$AT:$BI,2,FALSE),""))</f>
        <v/>
      </c>
      <c r="C53" s="462" t="str">
        <f>_xlfn.IFNA(VLOOKUP(ROW()-9,DAWorkings!$AT:$BI,5,FALSE),"")</f>
        <v/>
      </c>
      <c r="D53" s="462" t="str">
        <f>_xlfn.IFNA(VLOOKUP(ROW()-9,DAWorkings!$AT:$BI,6,FALSE),"")</f>
        <v/>
      </c>
      <c r="E53" s="462" t="str">
        <f>_xlfn.IFNA(VLOOKUP(ROW()-9,DAWorkings!$AT:$BI,3,FALSE),"")</f>
        <v/>
      </c>
      <c r="F53" s="462" t="str">
        <f>_xlfn.IFNA(VLOOKUP((VLOOKUP(ROW()-9,DAWorkings!$AT:$BI,4,FALSE)),DAWorkings!$AU$3:$AV$6,2,FALSE),"")</f>
        <v/>
      </c>
      <c r="G53" s="462" t="str">
        <f>_xlfn.IFNA(VLOOKUP(ROW()-9,DAWorkings!$AT:$BI,9,FALSE),"")</f>
        <v/>
      </c>
      <c r="H53" s="462" t="str">
        <f>_xlfn.IFNA(VLOOKUP(ROW()-9,DAWorkings!$AT:$BI,7,FALSE),"")</f>
        <v/>
      </c>
      <c r="I53" s="462" t="str">
        <f>IF(_xlfn.IFNA(VLOOKUP(ROW()-9,DAWorkings!$AT:$BI,8,FALSE),"")=0,"",_xlfn.IFNA(VLOOKUP(ROW()-9,DAWorkings!$AT:$BI,8,FALSE),""))</f>
        <v/>
      </c>
      <c r="J53" s="462" t="str">
        <f>IF(_xlfn.IFNA(VLOOKUP(ROW()-9,DAWorkings!$AT:$BI,12,FALSE),"")=0,"",_xlfn.IFNA(VLOOKUP(ROW()-9,DAWorkings!$AT:$BI,12,FALSE),""))</f>
        <v/>
      </c>
      <c r="K53" s="462" t="str">
        <f>IF(_xlfn.IFNA(VLOOKUP(ROW()-9,DAWorkings!$AT:$BI,13,FALSE),"")=0,"",_xlfn.IFNA(VLOOKUP(ROW()-9,DAWorkings!$AT:$BI,13,FALSE),""))</f>
        <v/>
      </c>
      <c r="L53" s="462" t="str">
        <f>IF(_xlfn.IFNA(VLOOKUP(ROW()-9,DAWorkings!$AT:$BI,10,FALSE),"")=0,"",_xlfn.IFNA(VLOOKUP(ROW()-9,DAWorkings!$AT:$BI,10,FALSE),""))</f>
        <v/>
      </c>
      <c r="M53" s="462" t="str">
        <f>IF(_xlfn.IFNA(VLOOKUP(ROW()-9,DAWorkings!$AT:$BI,10,FALSE),"")=0,"",_xlfn.IFNA(VLOOKUP(ROW()-9,DAWorkings!$AT:$BI,14,FALSE),""))</f>
        <v/>
      </c>
      <c r="N53" s="462" t="str">
        <f>_xlfn.IFNA(INDEX('Retention Schedule'!K:N,MATCH(VLOOKUP(ROW()-9,DAWorkings!$AT:$BI,11,FALSE),'Retention Schedule'!N:N,0),1),"")</f>
        <v/>
      </c>
      <c r="O53" s="462" t="str">
        <f>_xlfn.IFNA(VLOOKUP(ROW()-9,DAWorkings!$AT:$BI,15,FALSE),"")&amp;_xlfn.IFNA(IF(AND(VLOOKUP(ROW()-9,DAWorkings!$AT:$BJ,17,FALSE)="Yes(2)",VLOOKUP(ROW()-9,DAWorkings!$AT:$BI,15,FALSE)="Yes(1)")," &amp; ",""),"")&amp;IF(_xlfn.IFNA(VLOOKUP(ROW()-9,DAWorkings!$AT:$BJ,17,FALSE),"")=0,"",_xlfn.IFNA(VLOOKUP(ROW()-9,DAWorkings!$AT:$BJ,17,FALSE),""))</f>
        <v/>
      </c>
      <c r="P53" s="291" t="str">
        <f>IF(_xlfn.IFNA(VLOOKUP(ROW()-9,DAWorkings!$AT:$BI,10,FALSE),"")=0,"",_xlfn.IFNA(VLOOKUP(ROW()-9,DAWorkings!$AT:$BI,16,FALSE),""))</f>
        <v/>
      </c>
    </row>
    <row r="54" spans="1:16">
      <c r="A54" s="34"/>
      <c r="B54" s="462" t="str">
        <f>IF(_xlfn.IFNA(VLOOKUP(ROW()-9,DAWorkings!$AT:$BI,2,FALSE),"")=0,"",_xlfn.IFNA(VLOOKUP(ROW()-9,DAWorkings!$AT:$BI,2,FALSE),""))</f>
        <v/>
      </c>
      <c r="C54" s="462" t="str">
        <f>_xlfn.IFNA(VLOOKUP(ROW()-9,DAWorkings!$AT:$BI,5,FALSE),"")</f>
        <v/>
      </c>
      <c r="D54" s="462" t="str">
        <f>_xlfn.IFNA(VLOOKUP(ROW()-9,DAWorkings!$AT:$BI,6,FALSE),"")</f>
        <v/>
      </c>
      <c r="E54" s="462" t="str">
        <f>_xlfn.IFNA(VLOOKUP(ROW()-9,DAWorkings!$AT:$BI,3,FALSE),"")</f>
        <v/>
      </c>
      <c r="F54" s="462" t="str">
        <f>_xlfn.IFNA(VLOOKUP((VLOOKUP(ROW()-9,DAWorkings!$AT:$BI,4,FALSE)),DAWorkings!$AU$3:$AV$6,2,FALSE),"")</f>
        <v/>
      </c>
      <c r="G54" s="462" t="str">
        <f>_xlfn.IFNA(VLOOKUP(ROW()-9,DAWorkings!$AT:$BI,9,FALSE),"")</f>
        <v/>
      </c>
      <c r="H54" s="462" t="str">
        <f>_xlfn.IFNA(VLOOKUP(ROW()-9,DAWorkings!$AT:$BI,7,FALSE),"")</f>
        <v/>
      </c>
      <c r="I54" s="462" t="str">
        <f>IF(_xlfn.IFNA(VLOOKUP(ROW()-9,DAWorkings!$AT:$BI,8,FALSE),"")=0,"",_xlfn.IFNA(VLOOKUP(ROW()-9,DAWorkings!$AT:$BI,8,FALSE),""))</f>
        <v/>
      </c>
      <c r="J54" s="462" t="str">
        <f>IF(_xlfn.IFNA(VLOOKUP(ROW()-9,DAWorkings!$AT:$BI,12,FALSE),"")=0,"",_xlfn.IFNA(VLOOKUP(ROW()-9,DAWorkings!$AT:$BI,12,FALSE),""))</f>
        <v/>
      </c>
      <c r="K54" s="462" t="str">
        <f>IF(_xlfn.IFNA(VLOOKUP(ROW()-9,DAWorkings!$AT:$BI,13,FALSE),"")=0,"",_xlfn.IFNA(VLOOKUP(ROW()-9,DAWorkings!$AT:$BI,13,FALSE),""))</f>
        <v/>
      </c>
      <c r="L54" s="462" t="str">
        <f>IF(_xlfn.IFNA(VLOOKUP(ROW()-9,DAWorkings!$AT:$BI,10,FALSE),"")=0,"",_xlfn.IFNA(VLOOKUP(ROW()-9,DAWorkings!$AT:$BI,10,FALSE),""))</f>
        <v/>
      </c>
      <c r="M54" s="462" t="str">
        <f>IF(_xlfn.IFNA(VLOOKUP(ROW()-9,DAWorkings!$AT:$BI,10,FALSE),"")=0,"",_xlfn.IFNA(VLOOKUP(ROW()-9,DAWorkings!$AT:$BI,14,FALSE),""))</f>
        <v/>
      </c>
      <c r="N54" s="462" t="str">
        <f>_xlfn.IFNA(INDEX('Retention Schedule'!K:N,MATCH(VLOOKUP(ROW()-9,DAWorkings!$AT:$BI,11,FALSE),'Retention Schedule'!N:N,0),1),"")</f>
        <v/>
      </c>
      <c r="O54" s="462" t="str">
        <f>_xlfn.IFNA(VLOOKUP(ROW()-9,DAWorkings!$AT:$BI,15,FALSE),"")&amp;_xlfn.IFNA(IF(AND(VLOOKUP(ROW()-9,DAWorkings!$AT:$BJ,17,FALSE)="Yes(2)",VLOOKUP(ROW()-9,DAWorkings!$AT:$BI,15,FALSE)="Yes(1)")," &amp; ",""),"")&amp;IF(_xlfn.IFNA(VLOOKUP(ROW()-9,DAWorkings!$AT:$BJ,17,FALSE),"")=0,"",_xlfn.IFNA(VLOOKUP(ROW()-9,DAWorkings!$AT:$BJ,17,FALSE),""))</f>
        <v/>
      </c>
      <c r="P54" s="291" t="str">
        <f>IF(_xlfn.IFNA(VLOOKUP(ROW()-9,DAWorkings!$AT:$BI,10,FALSE),"")=0,"",_xlfn.IFNA(VLOOKUP(ROW()-9,DAWorkings!$AT:$BI,16,FALSE),""))</f>
        <v/>
      </c>
    </row>
    <row r="55" spans="1:16">
      <c r="A55" s="34"/>
      <c r="B55" s="462" t="str">
        <f>IF(_xlfn.IFNA(VLOOKUP(ROW()-9,DAWorkings!$AT:$BI,2,FALSE),"")=0,"",_xlfn.IFNA(VLOOKUP(ROW()-9,DAWorkings!$AT:$BI,2,FALSE),""))</f>
        <v/>
      </c>
      <c r="C55" s="462" t="str">
        <f>_xlfn.IFNA(VLOOKUP(ROW()-9,DAWorkings!$AT:$BI,5,FALSE),"")</f>
        <v/>
      </c>
      <c r="D55" s="462" t="str">
        <f>_xlfn.IFNA(VLOOKUP(ROW()-9,DAWorkings!$AT:$BI,6,FALSE),"")</f>
        <v/>
      </c>
      <c r="E55" s="462" t="str">
        <f>_xlfn.IFNA(VLOOKUP(ROW()-9,DAWorkings!$AT:$BI,3,FALSE),"")</f>
        <v/>
      </c>
      <c r="F55" s="462" t="str">
        <f>_xlfn.IFNA(VLOOKUP((VLOOKUP(ROW()-9,DAWorkings!$AT:$BI,4,FALSE)),DAWorkings!$AU$3:$AV$6,2,FALSE),"")</f>
        <v/>
      </c>
      <c r="G55" s="462" t="str">
        <f>_xlfn.IFNA(VLOOKUP(ROW()-9,DAWorkings!$AT:$BI,9,FALSE),"")</f>
        <v/>
      </c>
      <c r="H55" s="462" t="str">
        <f>_xlfn.IFNA(VLOOKUP(ROW()-9,DAWorkings!$AT:$BI,7,FALSE),"")</f>
        <v/>
      </c>
      <c r="I55" s="462" t="str">
        <f>IF(_xlfn.IFNA(VLOOKUP(ROW()-9,DAWorkings!$AT:$BI,8,FALSE),"")=0,"",_xlfn.IFNA(VLOOKUP(ROW()-9,DAWorkings!$AT:$BI,8,FALSE),""))</f>
        <v/>
      </c>
      <c r="J55" s="462" t="str">
        <f>IF(_xlfn.IFNA(VLOOKUP(ROW()-9,DAWorkings!$AT:$BI,12,FALSE),"")=0,"",_xlfn.IFNA(VLOOKUP(ROW()-9,DAWorkings!$AT:$BI,12,FALSE),""))</f>
        <v/>
      </c>
      <c r="K55" s="462" t="str">
        <f>IF(_xlfn.IFNA(VLOOKUP(ROW()-9,DAWorkings!$AT:$BI,13,FALSE),"")=0,"",_xlfn.IFNA(VLOOKUP(ROW()-9,DAWorkings!$AT:$BI,13,FALSE),""))</f>
        <v/>
      </c>
      <c r="L55" s="462" t="str">
        <f>IF(_xlfn.IFNA(VLOOKUP(ROW()-9,DAWorkings!$AT:$BI,10,FALSE),"")=0,"",_xlfn.IFNA(VLOOKUP(ROW()-9,DAWorkings!$AT:$BI,10,FALSE),""))</f>
        <v/>
      </c>
      <c r="M55" s="462" t="str">
        <f>IF(_xlfn.IFNA(VLOOKUP(ROW()-9,DAWorkings!$AT:$BI,10,FALSE),"")=0,"",_xlfn.IFNA(VLOOKUP(ROW()-9,DAWorkings!$AT:$BI,14,FALSE),""))</f>
        <v/>
      </c>
      <c r="N55" s="462" t="str">
        <f>_xlfn.IFNA(INDEX('Retention Schedule'!K:N,MATCH(VLOOKUP(ROW()-9,DAWorkings!$AT:$BI,11,FALSE),'Retention Schedule'!N:N,0),1),"")</f>
        <v/>
      </c>
      <c r="O55" s="462" t="str">
        <f>_xlfn.IFNA(VLOOKUP(ROW()-9,DAWorkings!$AT:$BI,15,FALSE),"")&amp;_xlfn.IFNA(IF(AND(VLOOKUP(ROW()-9,DAWorkings!$AT:$BJ,17,FALSE)="Yes(2)",VLOOKUP(ROW()-9,DAWorkings!$AT:$BI,15,FALSE)="Yes(1)")," &amp; ",""),"")&amp;IF(_xlfn.IFNA(VLOOKUP(ROW()-9,DAWorkings!$AT:$BJ,17,FALSE),"")=0,"",_xlfn.IFNA(VLOOKUP(ROW()-9,DAWorkings!$AT:$BJ,17,FALSE),""))</f>
        <v/>
      </c>
      <c r="P55" s="291" t="str">
        <f>IF(_xlfn.IFNA(VLOOKUP(ROW()-9,DAWorkings!$AT:$BI,10,FALSE),"")=0,"",_xlfn.IFNA(VLOOKUP(ROW()-9,DAWorkings!$AT:$BI,16,FALSE),""))</f>
        <v/>
      </c>
    </row>
    <row r="56" spans="1:16">
      <c r="A56" s="34"/>
      <c r="B56" s="462" t="str">
        <f>IF(_xlfn.IFNA(VLOOKUP(ROW()-9,DAWorkings!$AT:$BI,2,FALSE),"")=0,"",_xlfn.IFNA(VLOOKUP(ROW()-9,DAWorkings!$AT:$BI,2,FALSE),""))</f>
        <v/>
      </c>
      <c r="C56" s="462" t="str">
        <f>_xlfn.IFNA(VLOOKUP(ROW()-9,DAWorkings!$AT:$BI,5,FALSE),"")</f>
        <v/>
      </c>
      <c r="D56" s="462" t="str">
        <f>_xlfn.IFNA(VLOOKUP(ROW()-9,DAWorkings!$AT:$BI,6,FALSE),"")</f>
        <v/>
      </c>
      <c r="E56" s="462" t="str">
        <f>_xlfn.IFNA(VLOOKUP(ROW()-9,DAWorkings!$AT:$BI,3,FALSE),"")</f>
        <v/>
      </c>
      <c r="F56" s="462" t="str">
        <f>_xlfn.IFNA(VLOOKUP((VLOOKUP(ROW()-9,DAWorkings!$AT:$BI,4,FALSE)),DAWorkings!$AU$3:$AV$6,2,FALSE),"")</f>
        <v/>
      </c>
      <c r="G56" s="462" t="str">
        <f>_xlfn.IFNA(VLOOKUP(ROW()-9,DAWorkings!$AT:$BI,9,FALSE),"")</f>
        <v/>
      </c>
      <c r="H56" s="462" t="str">
        <f>_xlfn.IFNA(VLOOKUP(ROW()-9,DAWorkings!$AT:$BI,7,FALSE),"")</f>
        <v/>
      </c>
      <c r="I56" s="462" t="str">
        <f>IF(_xlfn.IFNA(VLOOKUP(ROW()-9,DAWorkings!$AT:$BI,8,FALSE),"")=0,"",_xlfn.IFNA(VLOOKUP(ROW()-9,DAWorkings!$AT:$BI,8,FALSE),""))</f>
        <v/>
      </c>
      <c r="J56" s="462" t="str">
        <f>IF(_xlfn.IFNA(VLOOKUP(ROW()-9,DAWorkings!$AT:$BI,12,FALSE),"")=0,"",_xlfn.IFNA(VLOOKUP(ROW()-9,DAWorkings!$AT:$BI,12,FALSE),""))</f>
        <v/>
      </c>
      <c r="K56" s="462" t="str">
        <f>IF(_xlfn.IFNA(VLOOKUP(ROW()-9,DAWorkings!$AT:$BI,13,FALSE),"")=0,"",_xlfn.IFNA(VLOOKUP(ROW()-9,DAWorkings!$AT:$BI,13,FALSE),""))</f>
        <v/>
      </c>
      <c r="L56" s="462" t="str">
        <f>IF(_xlfn.IFNA(VLOOKUP(ROW()-9,DAWorkings!$AT:$BI,10,FALSE),"")=0,"",_xlfn.IFNA(VLOOKUP(ROW()-9,DAWorkings!$AT:$BI,10,FALSE),""))</f>
        <v/>
      </c>
      <c r="M56" s="462" t="str">
        <f>IF(_xlfn.IFNA(VLOOKUP(ROW()-9,DAWorkings!$AT:$BI,10,FALSE),"")=0,"",_xlfn.IFNA(VLOOKUP(ROW()-9,DAWorkings!$AT:$BI,14,FALSE),""))</f>
        <v/>
      </c>
      <c r="N56" s="462" t="str">
        <f>_xlfn.IFNA(INDEX('Retention Schedule'!K:N,MATCH(VLOOKUP(ROW()-9,DAWorkings!$AT:$BI,11,FALSE),'Retention Schedule'!N:N,0),1),"")</f>
        <v/>
      </c>
      <c r="O56" s="462" t="str">
        <f>_xlfn.IFNA(VLOOKUP(ROW()-9,DAWorkings!$AT:$BI,15,FALSE),"")&amp;_xlfn.IFNA(IF(AND(VLOOKUP(ROW()-9,DAWorkings!$AT:$BJ,17,FALSE)="Yes(2)",VLOOKUP(ROW()-9,DAWorkings!$AT:$BI,15,FALSE)="Yes(1)")," &amp; ",""),"")&amp;IF(_xlfn.IFNA(VLOOKUP(ROW()-9,DAWorkings!$AT:$BJ,17,FALSE),"")=0,"",_xlfn.IFNA(VLOOKUP(ROW()-9,DAWorkings!$AT:$BJ,17,FALSE),""))</f>
        <v/>
      </c>
      <c r="P56" s="291" t="str">
        <f>IF(_xlfn.IFNA(VLOOKUP(ROW()-9,DAWorkings!$AT:$BI,10,FALSE),"")=0,"",_xlfn.IFNA(VLOOKUP(ROW()-9,DAWorkings!$AT:$BI,16,FALSE),""))</f>
        <v/>
      </c>
    </row>
    <row r="57" spans="1:16">
      <c r="A57" s="34"/>
      <c r="B57" s="462" t="str">
        <f>IF(_xlfn.IFNA(VLOOKUP(ROW()-9,DAWorkings!$AT:$BI,2,FALSE),"")=0,"",_xlfn.IFNA(VLOOKUP(ROW()-9,DAWorkings!$AT:$BI,2,FALSE),""))</f>
        <v/>
      </c>
      <c r="C57" s="462" t="str">
        <f>_xlfn.IFNA(VLOOKUP(ROW()-9,DAWorkings!$AT:$BI,5,FALSE),"")</f>
        <v/>
      </c>
      <c r="D57" s="462" t="str">
        <f>_xlfn.IFNA(VLOOKUP(ROW()-9,DAWorkings!$AT:$BI,6,FALSE),"")</f>
        <v/>
      </c>
      <c r="E57" s="462" t="str">
        <f>_xlfn.IFNA(VLOOKUP(ROW()-9,DAWorkings!$AT:$BI,3,FALSE),"")</f>
        <v/>
      </c>
      <c r="F57" s="462" t="str">
        <f>_xlfn.IFNA(VLOOKUP((VLOOKUP(ROW()-9,DAWorkings!$AT:$BI,4,FALSE)),DAWorkings!$AU$3:$AV$6,2,FALSE),"")</f>
        <v/>
      </c>
      <c r="G57" s="462" t="str">
        <f>_xlfn.IFNA(VLOOKUP(ROW()-9,DAWorkings!$AT:$BI,9,FALSE),"")</f>
        <v/>
      </c>
      <c r="H57" s="462" t="str">
        <f>_xlfn.IFNA(VLOOKUP(ROW()-9,DAWorkings!$AT:$BI,7,FALSE),"")</f>
        <v/>
      </c>
      <c r="I57" s="462" t="str">
        <f>IF(_xlfn.IFNA(VLOOKUP(ROW()-9,DAWorkings!$AT:$BI,8,FALSE),"")=0,"",_xlfn.IFNA(VLOOKUP(ROW()-9,DAWorkings!$AT:$BI,8,FALSE),""))</f>
        <v/>
      </c>
      <c r="J57" s="462" t="str">
        <f>IF(_xlfn.IFNA(VLOOKUP(ROW()-9,DAWorkings!$AT:$BI,12,FALSE),"")=0,"",_xlfn.IFNA(VLOOKUP(ROW()-9,DAWorkings!$AT:$BI,12,FALSE),""))</f>
        <v/>
      </c>
      <c r="K57" s="462" t="str">
        <f>IF(_xlfn.IFNA(VLOOKUP(ROW()-9,DAWorkings!$AT:$BI,13,FALSE),"")=0,"",_xlfn.IFNA(VLOOKUP(ROW()-9,DAWorkings!$AT:$BI,13,FALSE),""))</f>
        <v/>
      </c>
      <c r="L57" s="462" t="str">
        <f>IF(_xlfn.IFNA(VLOOKUP(ROW()-9,DAWorkings!$AT:$BI,10,FALSE),"")=0,"",_xlfn.IFNA(VLOOKUP(ROW()-9,DAWorkings!$AT:$BI,10,FALSE),""))</f>
        <v/>
      </c>
      <c r="M57" s="462" t="str">
        <f>IF(_xlfn.IFNA(VLOOKUP(ROW()-9,DAWorkings!$AT:$BI,10,FALSE),"")=0,"",_xlfn.IFNA(VLOOKUP(ROW()-9,DAWorkings!$AT:$BI,14,FALSE),""))</f>
        <v/>
      </c>
      <c r="N57" s="462" t="str">
        <f>_xlfn.IFNA(INDEX('Retention Schedule'!K:N,MATCH(VLOOKUP(ROW()-9,DAWorkings!$AT:$BI,11,FALSE),'Retention Schedule'!N:N,0),1),"")</f>
        <v/>
      </c>
      <c r="O57" s="462" t="str">
        <f>_xlfn.IFNA(VLOOKUP(ROW()-9,DAWorkings!$AT:$BI,15,FALSE),"")&amp;_xlfn.IFNA(IF(AND(VLOOKUP(ROW()-9,DAWorkings!$AT:$BJ,17,FALSE)="Yes(2)",VLOOKUP(ROW()-9,DAWorkings!$AT:$BI,15,FALSE)="Yes(1)")," &amp; ",""),"")&amp;IF(_xlfn.IFNA(VLOOKUP(ROW()-9,DAWorkings!$AT:$BJ,17,FALSE),"")=0,"",_xlfn.IFNA(VLOOKUP(ROW()-9,DAWorkings!$AT:$BJ,17,FALSE),""))</f>
        <v/>
      </c>
      <c r="P57" s="291" t="str">
        <f>IF(_xlfn.IFNA(VLOOKUP(ROW()-9,DAWorkings!$AT:$BI,10,FALSE),"")=0,"",_xlfn.IFNA(VLOOKUP(ROW()-9,DAWorkings!$AT:$BI,16,FALSE),""))</f>
        <v/>
      </c>
    </row>
    <row r="58" spans="1:16">
      <c r="A58" s="34"/>
      <c r="B58" s="462" t="str">
        <f>IF(_xlfn.IFNA(VLOOKUP(ROW()-9,DAWorkings!$AT:$BI,2,FALSE),"")=0,"",_xlfn.IFNA(VLOOKUP(ROW()-9,DAWorkings!$AT:$BI,2,FALSE),""))</f>
        <v/>
      </c>
      <c r="C58" s="462" t="str">
        <f>_xlfn.IFNA(VLOOKUP(ROW()-9,DAWorkings!$AT:$BI,5,FALSE),"")</f>
        <v/>
      </c>
      <c r="D58" s="462" t="str">
        <f>_xlfn.IFNA(VLOOKUP(ROW()-9,DAWorkings!$AT:$BI,6,FALSE),"")</f>
        <v/>
      </c>
      <c r="E58" s="462" t="str">
        <f>_xlfn.IFNA(VLOOKUP(ROW()-9,DAWorkings!$AT:$BI,3,FALSE),"")</f>
        <v/>
      </c>
      <c r="F58" s="462" t="str">
        <f>_xlfn.IFNA(VLOOKUP((VLOOKUP(ROW()-9,DAWorkings!$AT:$BI,4,FALSE)),DAWorkings!$AU$3:$AV$6,2,FALSE),"")</f>
        <v/>
      </c>
      <c r="G58" s="462" t="str">
        <f>_xlfn.IFNA(VLOOKUP(ROW()-9,DAWorkings!$AT:$BI,9,FALSE),"")</f>
        <v/>
      </c>
      <c r="H58" s="462" t="str">
        <f>_xlfn.IFNA(VLOOKUP(ROW()-9,DAWorkings!$AT:$BI,7,FALSE),"")</f>
        <v/>
      </c>
      <c r="I58" s="462" t="str">
        <f>IF(_xlfn.IFNA(VLOOKUP(ROW()-9,DAWorkings!$AT:$BI,8,FALSE),"")=0,"",_xlfn.IFNA(VLOOKUP(ROW()-9,DAWorkings!$AT:$BI,8,FALSE),""))</f>
        <v/>
      </c>
      <c r="J58" s="462" t="str">
        <f>IF(_xlfn.IFNA(VLOOKUP(ROW()-9,DAWorkings!$AT:$BI,12,FALSE),"")=0,"",_xlfn.IFNA(VLOOKUP(ROW()-9,DAWorkings!$AT:$BI,12,FALSE),""))</f>
        <v/>
      </c>
      <c r="K58" s="462" t="str">
        <f>IF(_xlfn.IFNA(VLOOKUP(ROW()-9,DAWorkings!$AT:$BI,13,FALSE),"")=0,"",_xlfn.IFNA(VLOOKUP(ROW()-9,DAWorkings!$AT:$BI,13,FALSE),""))</f>
        <v/>
      </c>
      <c r="L58" s="462" t="str">
        <f>IF(_xlfn.IFNA(VLOOKUP(ROW()-9,DAWorkings!$AT:$BI,10,FALSE),"")=0,"",_xlfn.IFNA(VLOOKUP(ROW()-9,DAWorkings!$AT:$BI,10,FALSE),""))</f>
        <v/>
      </c>
      <c r="M58" s="462" t="str">
        <f>IF(_xlfn.IFNA(VLOOKUP(ROW()-9,DAWorkings!$AT:$BI,10,FALSE),"")=0,"",_xlfn.IFNA(VLOOKUP(ROW()-9,DAWorkings!$AT:$BI,14,FALSE),""))</f>
        <v/>
      </c>
      <c r="N58" s="462" t="str">
        <f>_xlfn.IFNA(INDEX('Retention Schedule'!K:N,MATCH(VLOOKUP(ROW()-9,DAWorkings!$AT:$BI,11,FALSE),'Retention Schedule'!N:N,0),1),"")</f>
        <v/>
      </c>
      <c r="O58" s="462" t="str">
        <f>_xlfn.IFNA(VLOOKUP(ROW()-9,DAWorkings!$AT:$BI,15,FALSE),"")&amp;_xlfn.IFNA(IF(AND(VLOOKUP(ROW()-9,DAWorkings!$AT:$BJ,17,FALSE)="Yes(2)",VLOOKUP(ROW()-9,DAWorkings!$AT:$BI,15,FALSE)="Yes(1)")," &amp; ",""),"")&amp;IF(_xlfn.IFNA(VLOOKUP(ROW()-9,DAWorkings!$AT:$BJ,17,FALSE),"")=0,"",_xlfn.IFNA(VLOOKUP(ROW()-9,DAWorkings!$AT:$BJ,17,FALSE),""))</f>
        <v/>
      </c>
      <c r="P58" s="291" t="str">
        <f>IF(_xlfn.IFNA(VLOOKUP(ROW()-9,DAWorkings!$AT:$BI,10,FALSE),"")=0,"",_xlfn.IFNA(VLOOKUP(ROW()-9,DAWorkings!$AT:$BI,16,FALSE),""))</f>
        <v/>
      </c>
    </row>
    <row r="59" spans="1:16">
      <c r="A59" s="34"/>
      <c r="B59" s="462" t="str">
        <f>IF(_xlfn.IFNA(VLOOKUP(ROW()-9,DAWorkings!$AT:$BI,2,FALSE),"")=0,"",_xlfn.IFNA(VLOOKUP(ROW()-9,DAWorkings!$AT:$BI,2,FALSE),""))</f>
        <v/>
      </c>
      <c r="C59" s="462" t="str">
        <f>_xlfn.IFNA(VLOOKUP(ROW()-9,DAWorkings!$AT:$BI,5,FALSE),"")</f>
        <v/>
      </c>
      <c r="D59" s="462" t="str">
        <f>_xlfn.IFNA(VLOOKUP(ROW()-9,DAWorkings!$AT:$BI,6,FALSE),"")</f>
        <v/>
      </c>
      <c r="E59" s="462" t="str">
        <f>_xlfn.IFNA(VLOOKUP(ROW()-9,DAWorkings!$AT:$BI,3,FALSE),"")</f>
        <v/>
      </c>
      <c r="F59" s="462" t="str">
        <f>_xlfn.IFNA(VLOOKUP((VLOOKUP(ROW()-9,DAWorkings!$AT:$BI,4,FALSE)),DAWorkings!$AU$3:$AV$6,2,FALSE),"")</f>
        <v/>
      </c>
      <c r="G59" s="462" t="str">
        <f>_xlfn.IFNA(VLOOKUP(ROW()-9,DAWorkings!$AT:$BI,9,FALSE),"")</f>
        <v/>
      </c>
      <c r="H59" s="462" t="str">
        <f>_xlfn.IFNA(VLOOKUP(ROW()-9,DAWorkings!$AT:$BI,7,FALSE),"")</f>
        <v/>
      </c>
      <c r="I59" s="462" t="str">
        <f>IF(_xlfn.IFNA(VLOOKUP(ROW()-9,DAWorkings!$AT:$BI,8,FALSE),"")=0,"",_xlfn.IFNA(VLOOKUP(ROW()-9,DAWorkings!$AT:$BI,8,FALSE),""))</f>
        <v/>
      </c>
      <c r="J59" s="462" t="str">
        <f>IF(_xlfn.IFNA(VLOOKUP(ROW()-9,DAWorkings!$AT:$BI,12,FALSE),"")=0,"",_xlfn.IFNA(VLOOKUP(ROW()-9,DAWorkings!$AT:$BI,12,FALSE),""))</f>
        <v/>
      </c>
      <c r="K59" s="462" t="str">
        <f>IF(_xlfn.IFNA(VLOOKUP(ROW()-9,DAWorkings!$AT:$BI,13,FALSE),"")=0,"",_xlfn.IFNA(VLOOKUP(ROW()-9,DAWorkings!$AT:$BI,13,FALSE),""))</f>
        <v/>
      </c>
      <c r="L59" s="462" t="str">
        <f>IF(_xlfn.IFNA(VLOOKUP(ROW()-9,DAWorkings!$AT:$BI,10,FALSE),"")=0,"",_xlfn.IFNA(VLOOKUP(ROW()-9,DAWorkings!$AT:$BI,10,FALSE),""))</f>
        <v/>
      </c>
      <c r="M59" s="462" t="str">
        <f>IF(_xlfn.IFNA(VLOOKUP(ROW()-9,DAWorkings!$AT:$BI,10,FALSE),"")=0,"",_xlfn.IFNA(VLOOKUP(ROW()-9,DAWorkings!$AT:$BI,14,FALSE),""))</f>
        <v/>
      </c>
      <c r="N59" s="462" t="str">
        <f>_xlfn.IFNA(INDEX('Retention Schedule'!K:N,MATCH(VLOOKUP(ROW()-9,DAWorkings!$AT:$BI,11,FALSE),'Retention Schedule'!N:N,0),1),"")</f>
        <v/>
      </c>
      <c r="O59" s="462" t="str">
        <f>_xlfn.IFNA(VLOOKUP(ROW()-9,DAWorkings!$AT:$BI,15,FALSE),"")&amp;_xlfn.IFNA(IF(AND(VLOOKUP(ROW()-9,DAWorkings!$AT:$BJ,17,FALSE)="Yes(2)",VLOOKUP(ROW()-9,DAWorkings!$AT:$BI,15,FALSE)="Yes(1)")," &amp; ",""),"")&amp;IF(_xlfn.IFNA(VLOOKUP(ROW()-9,DAWorkings!$AT:$BJ,17,FALSE),"")=0,"",_xlfn.IFNA(VLOOKUP(ROW()-9,DAWorkings!$AT:$BJ,17,FALSE),""))</f>
        <v/>
      </c>
      <c r="P59" s="291" t="str">
        <f>IF(_xlfn.IFNA(VLOOKUP(ROW()-9,DAWorkings!$AT:$BI,10,FALSE),"")=0,"",_xlfn.IFNA(VLOOKUP(ROW()-9,DAWorkings!$AT:$BI,16,FALSE),""))</f>
        <v/>
      </c>
    </row>
    <row r="60" spans="1:16">
      <c r="A60" s="34"/>
      <c r="B60" s="462" t="str">
        <f>IF(_xlfn.IFNA(VLOOKUP(ROW()-9,DAWorkings!$AT:$BI,2,FALSE),"")=0,"",_xlfn.IFNA(VLOOKUP(ROW()-9,DAWorkings!$AT:$BI,2,FALSE),""))</f>
        <v/>
      </c>
      <c r="C60" s="462" t="str">
        <f>_xlfn.IFNA(VLOOKUP(ROW()-9,DAWorkings!$AT:$BI,5,FALSE),"")</f>
        <v/>
      </c>
      <c r="D60" s="462" t="str">
        <f>_xlfn.IFNA(VLOOKUP(ROW()-9,DAWorkings!$AT:$BI,6,FALSE),"")</f>
        <v/>
      </c>
      <c r="E60" s="462" t="str">
        <f>_xlfn.IFNA(VLOOKUP(ROW()-9,DAWorkings!$AT:$BI,3,FALSE),"")</f>
        <v/>
      </c>
      <c r="F60" s="462" t="str">
        <f>_xlfn.IFNA(VLOOKUP((VLOOKUP(ROW()-9,DAWorkings!$AT:$BI,4,FALSE)),DAWorkings!$AU$3:$AV$6,2,FALSE),"")</f>
        <v/>
      </c>
      <c r="G60" s="462" t="str">
        <f>_xlfn.IFNA(VLOOKUP(ROW()-9,DAWorkings!$AT:$BI,9,FALSE),"")</f>
        <v/>
      </c>
      <c r="H60" s="462" t="str">
        <f>_xlfn.IFNA(VLOOKUP(ROW()-9,DAWorkings!$AT:$BI,7,FALSE),"")</f>
        <v/>
      </c>
      <c r="I60" s="462" t="str">
        <f>IF(_xlfn.IFNA(VLOOKUP(ROW()-9,DAWorkings!$AT:$BI,8,FALSE),"")=0,"",_xlfn.IFNA(VLOOKUP(ROW()-9,DAWorkings!$AT:$BI,8,FALSE),""))</f>
        <v/>
      </c>
      <c r="J60" s="462" t="str">
        <f>IF(_xlfn.IFNA(VLOOKUP(ROW()-9,DAWorkings!$AT:$BI,12,FALSE),"")=0,"",_xlfn.IFNA(VLOOKUP(ROW()-9,DAWorkings!$AT:$BI,12,FALSE),""))</f>
        <v/>
      </c>
      <c r="K60" s="462" t="str">
        <f>IF(_xlfn.IFNA(VLOOKUP(ROW()-9,DAWorkings!$AT:$BI,13,FALSE),"")=0,"",_xlfn.IFNA(VLOOKUP(ROW()-9,DAWorkings!$AT:$BI,13,FALSE),""))</f>
        <v/>
      </c>
      <c r="L60" s="462" t="str">
        <f>IF(_xlfn.IFNA(VLOOKUP(ROW()-9,DAWorkings!$AT:$BI,10,FALSE),"")=0,"",_xlfn.IFNA(VLOOKUP(ROW()-9,DAWorkings!$AT:$BI,10,FALSE),""))</f>
        <v/>
      </c>
      <c r="M60" s="462" t="str">
        <f>IF(_xlfn.IFNA(VLOOKUP(ROW()-9,DAWorkings!$AT:$BI,10,FALSE),"")=0,"",_xlfn.IFNA(VLOOKUP(ROW()-9,DAWorkings!$AT:$BI,14,FALSE),""))</f>
        <v/>
      </c>
      <c r="N60" s="462" t="str">
        <f>_xlfn.IFNA(INDEX('Retention Schedule'!K:N,MATCH(VLOOKUP(ROW()-9,DAWorkings!$AT:$BI,11,FALSE),'Retention Schedule'!N:N,0),1),"")</f>
        <v/>
      </c>
      <c r="O60" s="462" t="str">
        <f>_xlfn.IFNA(VLOOKUP(ROW()-9,DAWorkings!$AT:$BI,15,FALSE),"")&amp;_xlfn.IFNA(IF(AND(VLOOKUP(ROW()-9,DAWorkings!$AT:$BJ,17,FALSE)="Yes(2)",VLOOKUP(ROW()-9,DAWorkings!$AT:$BI,15,FALSE)="Yes(1)")," &amp; ",""),"")&amp;IF(_xlfn.IFNA(VLOOKUP(ROW()-9,DAWorkings!$AT:$BJ,17,FALSE),"")=0,"",_xlfn.IFNA(VLOOKUP(ROW()-9,DAWorkings!$AT:$BJ,17,FALSE),""))</f>
        <v/>
      </c>
      <c r="P60" s="291" t="str">
        <f>IF(_xlfn.IFNA(VLOOKUP(ROW()-9,DAWorkings!$AT:$BI,10,FALSE),"")=0,"",_xlfn.IFNA(VLOOKUP(ROW()-9,DAWorkings!$AT:$BI,16,FALSE),""))</f>
        <v/>
      </c>
    </row>
    <row r="61" spans="1:16">
      <c r="A61" s="34"/>
      <c r="B61" s="462" t="str">
        <f>IF(_xlfn.IFNA(VLOOKUP(ROW()-9,DAWorkings!$AT:$BI,2,FALSE),"")=0,"",_xlfn.IFNA(VLOOKUP(ROW()-9,DAWorkings!$AT:$BI,2,FALSE),""))</f>
        <v/>
      </c>
      <c r="C61" s="462" t="str">
        <f>_xlfn.IFNA(VLOOKUP(ROW()-9,DAWorkings!$AT:$BI,5,FALSE),"")</f>
        <v/>
      </c>
      <c r="D61" s="462" t="str">
        <f>_xlfn.IFNA(VLOOKUP(ROW()-9,DAWorkings!$AT:$BI,6,FALSE),"")</f>
        <v/>
      </c>
      <c r="E61" s="462" t="str">
        <f>_xlfn.IFNA(VLOOKUP(ROW()-9,DAWorkings!$AT:$BI,3,FALSE),"")</f>
        <v/>
      </c>
      <c r="F61" s="462" t="str">
        <f>_xlfn.IFNA(VLOOKUP((VLOOKUP(ROW()-9,DAWorkings!$AT:$BI,4,FALSE)),DAWorkings!$AU$3:$AV$6,2,FALSE),"")</f>
        <v/>
      </c>
      <c r="G61" s="462" t="str">
        <f>_xlfn.IFNA(VLOOKUP(ROW()-9,DAWorkings!$AT:$BI,9,FALSE),"")</f>
        <v/>
      </c>
      <c r="H61" s="462" t="str">
        <f>_xlfn.IFNA(VLOOKUP(ROW()-9,DAWorkings!$AT:$BI,7,FALSE),"")</f>
        <v/>
      </c>
      <c r="I61" s="462" t="str">
        <f>IF(_xlfn.IFNA(VLOOKUP(ROW()-9,DAWorkings!$AT:$BI,8,FALSE),"")=0,"",_xlfn.IFNA(VLOOKUP(ROW()-9,DAWorkings!$AT:$BI,8,FALSE),""))</f>
        <v/>
      </c>
      <c r="J61" s="462" t="str">
        <f>IF(_xlfn.IFNA(VLOOKUP(ROW()-9,DAWorkings!$AT:$BI,12,FALSE),"")=0,"",_xlfn.IFNA(VLOOKUP(ROW()-9,DAWorkings!$AT:$BI,12,FALSE),""))</f>
        <v/>
      </c>
      <c r="K61" s="462" t="str">
        <f>IF(_xlfn.IFNA(VLOOKUP(ROW()-9,DAWorkings!$AT:$BI,13,FALSE),"")=0,"",_xlfn.IFNA(VLOOKUP(ROW()-9,DAWorkings!$AT:$BI,13,FALSE),""))</f>
        <v/>
      </c>
      <c r="L61" s="462" t="str">
        <f>IF(_xlfn.IFNA(VLOOKUP(ROW()-9,DAWorkings!$AT:$BI,10,FALSE),"")=0,"",_xlfn.IFNA(VLOOKUP(ROW()-9,DAWorkings!$AT:$BI,10,FALSE),""))</f>
        <v/>
      </c>
      <c r="M61" s="462" t="str">
        <f>IF(_xlfn.IFNA(VLOOKUP(ROW()-9,DAWorkings!$AT:$BI,10,FALSE),"")=0,"",_xlfn.IFNA(VLOOKUP(ROW()-9,DAWorkings!$AT:$BI,14,FALSE),""))</f>
        <v/>
      </c>
      <c r="N61" s="462" t="str">
        <f>_xlfn.IFNA(INDEX('Retention Schedule'!K:N,MATCH(VLOOKUP(ROW()-9,DAWorkings!$AT:$BI,11,FALSE),'Retention Schedule'!N:N,0),1),"")</f>
        <v/>
      </c>
      <c r="O61" s="462" t="str">
        <f>_xlfn.IFNA(VLOOKUP(ROW()-9,DAWorkings!$AT:$BI,15,FALSE),"")&amp;_xlfn.IFNA(IF(AND(VLOOKUP(ROW()-9,DAWorkings!$AT:$BJ,17,FALSE)="Yes(2)",VLOOKUP(ROW()-9,DAWorkings!$AT:$BI,15,FALSE)="Yes(1)")," &amp; ",""),"")&amp;IF(_xlfn.IFNA(VLOOKUP(ROW()-9,DAWorkings!$AT:$BJ,17,FALSE),"")=0,"",_xlfn.IFNA(VLOOKUP(ROW()-9,DAWorkings!$AT:$BJ,17,FALSE),""))</f>
        <v/>
      </c>
      <c r="P61" s="291" t="str">
        <f>IF(_xlfn.IFNA(VLOOKUP(ROW()-9,DAWorkings!$AT:$BI,10,FALSE),"")=0,"",_xlfn.IFNA(VLOOKUP(ROW()-9,DAWorkings!$AT:$BI,16,FALSE),""))</f>
        <v/>
      </c>
    </row>
    <row r="62" spans="1:16">
      <c r="A62" s="34"/>
      <c r="B62" s="462" t="str">
        <f>IF(_xlfn.IFNA(VLOOKUP(ROW()-9,DAWorkings!$AT:$BI,2,FALSE),"")=0,"",_xlfn.IFNA(VLOOKUP(ROW()-9,DAWorkings!$AT:$BI,2,FALSE),""))</f>
        <v/>
      </c>
      <c r="C62" s="462" t="str">
        <f>_xlfn.IFNA(VLOOKUP(ROW()-9,DAWorkings!$AT:$BI,5,FALSE),"")</f>
        <v/>
      </c>
      <c r="D62" s="462" t="str">
        <f>_xlfn.IFNA(VLOOKUP(ROW()-9,DAWorkings!$AT:$BI,6,FALSE),"")</f>
        <v/>
      </c>
      <c r="E62" s="462" t="str">
        <f>_xlfn.IFNA(VLOOKUP(ROW()-9,DAWorkings!$AT:$BI,3,FALSE),"")</f>
        <v/>
      </c>
      <c r="F62" s="462" t="str">
        <f>_xlfn.IFNA(VLOOKUP((VLOOKUP(ROW()-9,DAWorkings!$AT:$BI,4,FALSE)),DAWorkings!$AU$3:$AV$6,2,FALSE),"")</f>
        <v/>
      </c>
      <c r="G62" s="462" t="str">
        <f>_xlfn.IFNA(VLOOKUP(ROW()-9,DAWorkings!$AT:$BI,9,FALSE),"")</f>
        <v/>
      </c>
      <c r="H62" s="462" t="str">
        <f>_xlfn.IFNA(VLOOKUP(ROW()-9,DAWorkings!$AT:$BI,7,FALSE),"")</f>
        <v/>
      </c>
      <c r="I62" s="462" t="str">
        <f>IF(_xlfn.IFNA(VLOOKUP(ROW()-9,DAWorkings!$AT:$BI,8,FALSE),"")=0,"",_xlfn.IFNA(VLOOKUP(ROW()-9,DAWorkings!$AT:$BI,8,FALSE),""))</f>
        <v/>
      </c>
      <c r="J62" s="462" t="str">
        <f>IF(_xlfn.IFNA(VLOOKUP(ROW()-9,DAWorkings!$AT:$BI,12,FALSE),"")=0,"",_xlfn.IFNA(VLOOKUP(ROW()-9,DAWorkings!$AT:$BI,12,FALSE),""))</f>
        <v/>
      </c>
      <c r="K62" s="462" t="str">
        <f>IF(_xlfn.IFNA(VLOOKUP(ROW()-9,DAWorkings!$AT:$BI,13,FALSE),"")=0,"",_xlfn.IFNA(VLOOKUP(ROW()-9,DAWorkings!$AT:$BI,13,FALSE),""))</f>
        <v/>
      </c>
      <c r="L62" s="462" t="str">
        <f>IF(_xlfn.IFNA(VLOOKUP(ROW()-9,DAWorkings!$AT:$BI,10,FALSE),"")=0,"",_xlfn.IFNA(VLOOKUP(ROW()-9,DAWorkings!$AT:$BI,10,FALSE),""))</f>
        <v/>
      </c>
      <c r="M62" s="462" t="str">
        <f>IF(_xlfn.IFNA(VLOOKUP(ROW()-9,DAWorkings!$AT:$BI,10,FALSE),"")=0,"",_xlfn.IFNA(VLOOKUP(ROW()-9,DAWorkings!$AT:$BI,14,FALSE),""))</f>
        <v/>
      </c>
      <c r="N62" s="462" t="str">
        <f>_xlfn.IFNA(INDEX('Retention Schedule'!K:N,MATCH(VLOOKUP(ROW()-9,DAWorkings!$AT:$BI,11,FALSE),'Retention Schedule'!N:N,0),1),"")</f>
        <v/>
      </c>
      <c r="O62" s="462" t="str">
        <f>_xlfn.IFNA(VLOOKUP(ROW()-9,DAWorkings!$AT:$BI,15,FALSE),"")&amp;_xlfn.IFNA(IF(AND(VLOOKUP(ROW()-9,DAWorkings!$AT:$BJ,17,FALSE)="Yes(2)",VLOOKUP(ROW()-9,DAWorkings!$AT:$BI,15,FALSE)="Yes(1)")," &amp; ",""),"")&amp;IF(_xlfn.IFNA(VLOOKUP(ROW()-9,DAWorkings!$AT:$BJ,17,FALSE),"")=0,"",_xlfn.IFNA(VLOOKUP(ROW()-9,DAWorkings!$AT:$BJ,17,FALSE),""))</f>
        <v/>
      </c>
      <c r="P62" s="291" t="str">
        <f>IF(_xlfn.IFNA(VLOOKUP(ROW()-9,DAWorkings!$AT:$BI,10,FALSE),"")=0,"",_xlfn.IFNA(VLOOKUP(ROW()-9,DAWorkings!$AT:$BI,16,FALSE),""))</f>
        <v/>
      </c>
    </row>
    <row r="63" spans="1:16">
      <c r="A63" s="34"/>
      <c r="B63" s="462" t="str">
        <f>IF(_xlfn.IFNA(VLOOKUP(ROW()-9,DAWorkings!$AT:$BI,2,FALSE),"")=0,"",_xlfn.IFNA(VLOOKUP(ROW()-9,DAWorkings!$AT:$BI,2,FALSE),""))</f>
        <v/>
      </c>
      <c r="C63" s="462" t="str">
        <f>_xlfn.IFNA(VLOOKUP(ROW()-9,DAWorkings!$AT:$BI,5,FALSE),"")</f>
        <v/>
      </c>
      <c r="D63" s="462" t="str">
        <f>_xlfn.IFNA(VLOOKUP(ROW()-9,DAWorkings!$AT:$BI,6,FALSE),"")</f>
        <v/>
      </c>
      <c r="E63" s="462" t="str">
        <f>_xlfn.IFNA(VLOOKUP(ROW()-9,DAWorkings!$AT:$BI,3,FALSE),"")</f>
        <v/>
      </c>
      <c r="F63" s="462" t="str">
        <f>_xlfn.IFNA(VLOOKUP((VLOOKUP(ROW()-9,DAWorkings!$AT:$BI,4,FALSE)),DAWorkings!$AU$3:$AV$6,2,FALSE),"")</f>
        <v/>
      </c>
      <c r="G63" s="462" t="str">
        <f>_xlfn.IFNA(VLOOKUP(ROW()-9,DAWorkings!$AT:$BI,9,FALSE),"")</f>
        <v/>
      </c>
      <c r="H63" s="462" t="str">
        <f>_xlfn.IFNA(VLOOKUP(ROW()-9,DAWorkings!$AT:$BI,7,FALSE),"")</f>
        <v/>
      </c>
      <c r="I63" s="462" t="str">
        <f>IF(_xlfn.IFNA(VLOOKUP(ROW()-9,DAWorkings!$AT:$BI,8,FALSE),"")=0,"",_xlfn.IFNA(VLOOKUP(ROW()-9,DAWorkings!$AT:$BI,8,FALSE),""))</f>
        <v/>
      </c>
      <c r="J63" s="462" t="str">
        <f>IF(_xlfn.IFNA(VLOOKUP(ROW()-9,DAWorkings!$AT:$BI,12,FALSE),"")=0,"",_xlfn.IFNA(VLOOKUP(ROW()-9,DAWorkings!$AT:$BI,12,FALSE),""))</f>
        <v/>
      </c>
      <c r="K63" s="462" t="str">
        <f>IF(_xlfn.IFNA(VLOOKUP(ROW()-9,DAWorkings!$AT:$BI,13,FALSE),"")=0,"",_xlfn.IFNA(VLOOKUP(ROW()-9,DAWorkings!$AT:$BI,13,FALSE),""))</f>
        <v/>
      </c>
      <c r="L63" s="462" t="str">
        <f>IF(_xlfn.IFNA(VLOOKUP(ROW()-9,DAWorkings!$AT:$BI,10,FALSE),"")=0,"",_xlfn.IFNA(VLOOKUP(ROW()-9,DAWorkings!$AT:$BI,10,FALSE),""))</f>
        <v/>
      </c>
      <c r="M63" s="462" t="str">
        <f>IF(_xlfn.IFNA(VLOOKUP(ROW()-9,DAWorkings!$AT:$BI,10,FALSE),"")=0,"",_xlfn.IFNA(VLOOKUP(ROW()-9,DAWorkings!$AT:$BI,14,FALSE),""))</f>
        <v/>
      </c>
      <c r="N63" s="462" t="str">
        <f>_xlfn.IFNA(INDEX('Retention Schedule'!K:N,MATCH(VLOOKUP(ROW()-9,DAWorkings!$AT:$BI,11,FALSE),'Retention Schedule'!N:N,0),1),"")</f>
        <v/>
      </c>
      <c r="O63" s="462" t="str">
        <f>_xlfn.IFNA(VLOOKUP(ROW()-9,DAWorkings!$AT:$BI,15,FALSE),"")&amp;_xlfn.IFNA(IF(AND(VLOOKUP(ROW()-9,DAWorkings!$AT:$BJ,17,FALSE)="Yes(2)",VLOOKUP(ROW()-9,DAWorkings!$AT:$BI,15,FALSE)="Yes(1)")," &amp; ",""),"")&amp;IF(_xlfn.IFNA(VLOOKUP(ROW()-9,DAWorkings!$AT:$BJ,17,FALSE),"")=0,"",_xlfn.IFNA(VLOOKUP(ROW()-9,DAWorkings!$AT:$BJ,17,FALSE),""))</f>
        <v/>
      </c>
      <c r="P63" s="291" t="str">
        <f>IF(_xlfn.IFNA(VLOOKUP(ROW()-9,DAWorkings!$AT:$BI,10,FALSE),"")=0,"",_xlfn.IFNA(VLOOKUP(ROW()-9,DAWorkings!$AT:$BI,16,FALSE),""))</f>
        <v/>
      </c>
    </row>
    <row r="64" spans="1:16">
      <c r="A64" s="34"/>
      <c r="B64" s="462" t="str">
        <f>IF(_xlfn.IFNA(VLOOKUP(ROW()-9,DAWorkings!$AT:$BI,2,FALSE),"")=0,"",_xlfn.IFNA(VLOOKUP(ROW()-9,DAWorkings!$AT:$BI,2,FALSE),""))</f>
        <v/>
      </c>
      <c r="C64" s="462" t="str">
        <f>_xlfn.IFNA(VLOOKUP(ROW()-9,DAWorkings!$AT:$BI,5,FALSE),"")</f>
        <v/>
      </c>
      <c r="D64" s="462" t="str">
        <f>_xlfn.IFNA(VLOOKUP(ROW()-9,DAWorkings!$AT:$BI,6,FALSE),"")</f>
        <v/>
      </c>
      <c r="E64" s="462" t="str">
        <f>_xlfn.IFNA(VLOOKUP(ROW()-9,DAWorkings!$AT:$BI,3,FALSE),"")</f>
        <v/>
      </c>
      <c r="F64" s="462" t="str">
        <f>_xlfn.IFNA(VLOOKUP((VLOOKUP(ROW()-9,DAWorkings!$AT:$BI,4,FALSE)),DAWorkings!$AU$3:$AV$6,2,FALSE),"")</f>
        <v/>
      </c>
      <c r="G64" s="462" t="str">
        <f>_xlfn.IFNA(VLOOKUP(ROW()-9,DAWorkings!$AT:$BI,9,FALSE),"")</f>
        <v/>
      </c>
      <c r="H64" s="462" t="str">
        <f>_xlfn.IFNA(VLOOKUP(ROW()-9,DAWorkings!$AT:$BI,7,FALSE),"")</f>
        <v/>
      </c>
      <c r="I64" s="462" t="str">
        <f>IF(_xlfn.IFNA(VLOOKUP(ROW()-9,DAWorkings!$AT:$BI,8,FALSE),"")=0,"",_xlfn.IFNA(VLOOKUP(ROW()-9,DAWorkings!$AT:$BI,8,FALSE),""))</f>
        <v/>
      </c>
      <c r="J64" s="462" t="str">
        <f>IF(_xlfn.IFNA(VLOOKUP(ROW()-9,DAWorkings!$AT:$BI,12,FALSE),"")=0,"",_xlfn.IFNA(VLOOKUP(ROW()-9,DAWorkings!$AT:$BI,12,FALSE),""))</f>
        <v/>
      </c>
      <c r="K64" s="462" t="str">
        <f>IF(_xlfn.IFNA(VLOOKUP(ROW()-9,DAWorkings!$AT:$BI,13,FALSE),"")=0,"",_xlfn.IFNA(VLOOKUP(ROW()-9,DAWorkings!$AT:$BI,13,FALSE),""))</f>
        <v/>
      </c>
      <c r="L64" s="462" t="str">
        <f>IF(_xlfn.IFNA(VLOOKUP(ROW()-9,DAWorkings!$AT:$BI,10,FALSE),"")=0,"",_xlfn.IFNA(VLOOKUP(ROW()-9,DAWorkings!$AT:$BI,10,FALSE),""))</f>
        <v/>
      </c>
      <c r="M64" s="462" t="str">
        <f>IF(_xlfn.IFNA(VLOOKUP(ROW()-9,DAWorkings!$AT:$BI,10,FALSE),"")=0,"",_xlfn.IFNA(VLOOKUP(ROW()-9,DAWorkings!$AT:$BI,14,FALSE),""))</f>
        <v/>
      </c>
      <c r="N64" s="462" t="str">
        <f>_xlfn.IFNA(INDEX('Retention Schedule'!K:N,MATCH(VLOOKUP(ROW()-9,DAWorkings!$AT:$BI,11,FALSE),'Retention Schedule'!N:N,0),1),"")</f>
        <v/>
      </c>
      <c r="O64" s="462" t="str">
        <f>_xlfn.IFNA(VLOOKUP(ROW()-9,DAWorkings!$AT:$BI,15,FALSE),"")&amp;_xlfn.IFNA(IF(AND(VLOOKUP(ROW()-9,DAWorkings!$AT:$BJ,17,FALSE)="Yes(2)",VLOOKUP(ROW()-9,DAWorkings!$AT:$BI,15,FALSE)="Yes(1)")," &amp; ",""),"")&amp;IF(_xlfn.IFNA(VLOOKUP(ROW()-9,DAWorkings!$AT:$BJ,17,FALSE),"")=0,"",_xlfn.IFNA(VLOOKUP(ROW()-9,DAWorkings!$AT:$BJ,17,FALSE),""))</f>
        <v/>
      </c>
      <c r="P64" s="291" t="str">
        <f>IF(_xlfn.IFNA(VLOOKUP(ROW()-9,DAWorkings!$AT:$BI,10,FALSE),"")=0,"",_xlfn.IFNA(VLOOKUP(ROW()-9,DAWorkings!$AT:$BI,16,FALSE),""))</f>
        <v/>
      </c>
    </row>
    <row r="65" spans="1:16">
      <c r="A65" s="34"/>
      <c r="B65" s="462" t="str">
        <f>IF(_xlfn.IFNA(VLOOKUP(ROW()-9,DAWorkings!$AT:$BI,2,FALSE),"")=0,"",_xlfn.IFNA(VLOOKUP(ROW()-9,DAWorkings!$AT:$BI,2,FALSE),""))</f>
        <v/>
      </c>
      <c r="C65" s="462" t="str">
        <f>_xlfn.IFNA(VLOOKUP(ROW()-9,DAWorkings!$AT:$BI,5,FALSE),"")</f>
        <v/>
      </c>
      <c r="D65" s="462" t="str">
        <f>_xlfn.IFNA(VLOOKUP(ROW()-9,DAWorkings!$AT:$BI,6,FALSE),"")</f>
        <v/>
      </c>
      <c r="E65" s="462" t="str">
        <f>_xlfn.IFNA(VLOOKUP(ROW()-9,DAWorkings!$AT:$BI,3,FALSE),"")</f>
        <v/>
      </c>
      <c r="F65" s="462" t="str">
        <f>_xlfn.IFNA(VLOOKUP((VLOOKUP(ROW()-9,DAWorkings!$AT:$BI,4,FALSE)),DAWorkings!$AU$3:$AV$6,2,FALSE),"")</f>
        <v/>
      </c>
      <c r="G65" s="462" t="str">
        <f>_xlfn.IFNA(VLOOKUP(ROW()-9,DAWorkings!$AT:$BI,9,FALSE),"")</f>
        <v/>
      </c>
      <c r="H65" s="462" t="str">
        <f>_xlfn.IFNA(VLOOKUP(ROW()-9,DAWorkings!$AT:$BI,7,FALSE),"")</f>
        <v/>
      </c>
      <c r="I65" s="462" t="str">
        <f>IF(_xlfn.IFNA(VLOOKUP(ROW()-9,DAWorkings!$AT:$BI,8,FALSE),"")=0,"",_xlfn.IFNA(VLOOKUP(ROW()-9,DAWorkings!$AT:$BI,8,FALSE),""))</f>
        <v/>
      </c>
      <c r="J65" s="462" t="str">
        <f>IF(_xlfn.IFNA(VLOOKUP(ROW()-9,DAWorkings!$AT:$BI,12,FALSE),"")=0,"",_xlfn.IFNA(VLOOKUP(ROW()-9,DAWorkings!$AT:$BI,12,FALSE),""))</f>
        <v/>
      </c>
      <c r="K65" s="462" t="str">
        <f>IF(_xlfn.IFNA(VLOOKUP(ROW()-9,DAWorkings!$AT:$BI,13,FALSE),"")=0,"",_xlfn.IFNA(VLOOKUP(ROW()-9,DAWorkings!$AT:$BI,13,FALSE),""))</f>
        <v/>
      </c>
      <c r="L65" s="462" t="str">
        <f>IF(_xlfn.IFNA(VLOOKUP(ROW()-9,DAWorkings!$AT:$BI,10,FALSE),"")=0,"",_xlfn.IFNA(VLOOKUP(ROW()-9,DAWorkings!$AT:$BI,10,FALSE),""))</f>
        <v/>
      </c>
      <c r="M65" s="462" t="str">
        <f>IF(_xlfn.IFNA(VLOOKUP(ROW()-9,DAWorkings!$AT:$BI,10,FALSE),"")=0,"",_xlfn.IFNA(VLOOKUP(ROW()-9,DAWorkings!$AT:$BI,14,FALSE),""))</f>
        <v/>
      </c>
      <c r="N65" s="462" t="str">
        <f>_xlfn.IFNA(INDEX('Retention Schedule'!K:N,MATCH(VLOOKUP(ROW()-9,DAWorkings!$AT:$BI,11,FALSE),'Retention Schedule'!N:N,0),1),"")</f>
        <v/>
      </c>
      <c r="O65" s="462" t="str">
        <f>_xlfn.IFNA(VLOOKUP(ROW()-9,DAWorkings!$AT:$BI,15,FALSE),"")&amp;_xlfn.IFNA(IF(AND(VLOOKUP(ROW()-9,DAWorkings!$AT:$BJ,17,FALSE)="Yes(2)",VLOOKUP(ROW()-9,DAWorkings!$AT:$BI,15,FALSE)="Yes(1)")," &amp; ",""),"")&amp;IF(_xlfn.IFNA(VLOOKUP(ROW()-9,DAWorkings!$AT:$BJ,17,FALSE),"")=0,"",_xlfn.IFNA(VLOOKUP(ROW()-9,DAWorkings!$AT:$BJ,17,FALSE),""))</f>
        <v/>
      </c>
      <c r="P65" s="291" t="str">
        <f>IF(_xlfn.IFNA(VLOOKUP(ROW()-9,DAWorkings!$AT:$BI,10,FALSE),"")=0,"",_xlfn.IFNA(VLOOKUP(ROW()-9,DAWorkings!$AT:$BI,16,FALSE),""))</f>
        <v/>
      </c>
    </row>
    <row r="66" spans="1:16">
      <c r="A66" s="34"/>
      <c r="B66" s="462" t="str">
        <f>IF(_xlfn.IFNA(VLOOKUP(ROW()-9,DAWorkings!$AT:$BI,2,FALSE),"")=0,"",_xlfn.IFNA(VLOOKUP(ROW()-9,DAWorkings!$AT:$BI,2,FALSE),""))</f>
        <v/>
      </c>
      <c r="C66" s="462" t="str">
        <f>_xlfn.IFNA(VLOOKUP(ROW()-9,DAWorkings!$AT:$BI,5,FALSE),"")</f>
        <v/>
      </c>
      <c r="D66" s="462" t="str">
        <f>_xlfn.IFNA(VLOOKUP(ROW()-9,DAWorkings!$AT:$BI,6,FALSE),"")</f>
        <v/>
      </c>
      <c r="E66" s="462" t="str">
        <f>_xlfn.IFNA(VLOOKUP(ROW()-9,DAWorkings!$AT:$BI,3,FALSE),"")</f>
        <v/>
      </c>
      <c r="F66" s="462" t="str">
        <f>_xlfn.IFNA(VLOOKUP((VLOOKUP(ROW()-9,DAWorkings!$AT:$BI,4,FALSE)),DAWorkings!$AU$3:$AV$6,2,FALSE),"")</f>
        <v/>
      </c>
      <c r="G66" s="462" t="str">
        <f>_xlfn.IFNA(VLOOKUP(ROW()-9,DAWorkings!$AT:$BI,9,FALSE),"")</f>
        <v/>
      </c>
      <c r="H66" s="462" t="str">
        <f>_xlfn.IFNA(VLOOKUP(ROW()-9,DAWorkings!$AT:$BI,7,FALSE),"")</f>
        <v/>
      </c>
      <c r="I66" s="462" t="str">
        <f>IF(_xlfn.IFNA(VLOOKUP(ROW()-9,DAWorkings!$AT:$BI,8,FALSE),"")=0,"",_xlfn.IFNA(VLOOKUP(ROW()-9,DAWorkings!$AT:$BI,8,FALSE),""))</f>
        <v/>
      </c>
      <c r="J66" s="462" t="str">
        <f>IF(_xlfn.IFNA(VLOOKUP(ROW()-9,DAWorkings!$AT:$BI,12,FALSE),"")=0,"",_xlfn.IFNA(VLOOKUP(ROW()-9,DAWorkings!$AT:$BI,12,FALSE),""))</f>
        <v/>
      </c>
      <c r="K66" s="462" t="str">
        <f>IF(_xlfn.IFNA(VLOOKUP(ROW()-9,DAWorkings!$AT:$BI,13,FALSE),"")=0,"",_xlfn.IFNA(VLOOKUP(ROW()-9,DAWorkings!$AT:$BI,13,FALSE),""))</f>
        <v/>
      </c>
      <c r="L66" s="462" t="str">
        <f>IF(_xlfn.IFNA(VLOOKUP(ROW()-9,DAWorkings!$AT:$BI,10,FALSE),"")=0,"",_xlfn.IFNA(VLOOKUP(ROW()-9,DAWorkings!$AT:$BI,10,FALSE),""))</f>
        <v/>
      </c>
      <c r="M66" s="462" t="str">
        <f>IF(_xlfn.IFNA(VLOOKUP(ROW()-9,DAWorkings!$AT:$BI,10,FALSE),"")=0,"",_xlfn.IFNA(VLOOKUP(ROW()-9,DAWorkings!$AT:$BI,14,FALSE),""))</f>
        <v/>
      </c>
      <c r="N66" s="462" t="str">
        <f>_xlfn.IFNA(INDEX('Retention Schedule'!K:N,MATCH(VLOOKUP(ROW()-9,DAWorkings!$AT:$BI,11,FALSE),'Retention Schedule'!N:N,0),1),"")</f>
        <v/>
      </c>
      <c r="O66" s="462" t="str">
        <f>_xlfn.IFNA(VLOOKUP(ROW()-9,DAWorkings!$AT:$BI,15,FALSE),"")&amp;_xlfn.IFNA(IF(AND(VLOOKUP(ROW()-9,DAWorkings!$AT:$BJ,17,FALSE)="Yes(2)",VLOOKUP(ROW()-9,DAWorkings!$AT:$BI,15,FALSE)="Yes(1)")," &amp; ",""),"")&amp;IF(_xlfn.IFNA(VLOOKUP(ROW()-9,DAWorkings!$AT:$BJ,17,FALSE),"")=0,"",_xlfn.IFNA(VLOOKUP(ROW()-9,DAWorkings!$AT:$BJ,17,FALSE),""))</f>
        <v/>
      </c>
      <c r="P66" s="291" t="str">
        <f>IF(_xlfn.IFNA(VLOOKUP(ROW()-9,DAWorkings!$AT:$BI,10,FALSE),"")=0,"",_xlfn.IFNA(VLOOKUP(ROW()-9,DAWorkings!$AT:$BI,16,FALSE),""))</f>
        <v/>
      </c>
    </row>
    <row r="67" spans="1:16">
      <c r="A67" s="34"/>
      <c r="B67" s="462" t="str">
        <f>IF(_xlfn.IFNA(VLOOKUP(ROW()-9,DAWorkings!$AT:$BI,2,FALSE),"")=0,"",_xlfn.IFNA(VLOOKUP(ROW()-9,DAWorkings!$AT:$BI,2,FALSE),""))</f>
        <v/>
      </c>
      <c r="C67" s="462" t="str">
        <f>_xlfn.IFNA(VLOOKUP(ROW()-9,DAWorkings!$AT:$BI,5,FALSE),"")</f>
        <v/>
      </c>
      <c r="D67" s="462" t="str">
        <f>_xlfn.IFNA(VLOOKUP(ROW()-9,DAWorkings!$AT:$BI,6,FALSE),"")</f>
        <v/>
      </c>
      <c r="E67" s="462" t="str">
        <f>_xlfn.IFNA(VLOOKUP(ROW()-9,DAWorkings!$AT:$BI,3,FALSE),"")</f>
        <v/>
      </c>
      <c r="F67" s="462" t="str">
        <f>_xlfn.IFNA(VLOOKUP((VLOOKUP(ROW()-9,DAWorkings!$AT:$BI,4,FALSE)),DAWorkings!$AU$3:$AV$6,2,FALSE),"")</f>
        <v/>
      </c>
      <c r="G67" s="462" t="str">
        <f>_xlfn.IFNA(VLOOKUP(ROW()-9,DAWorkings!$AT:$BI,9,FALSE),"")</f>
        <v/>
      </c>
      <c r="H67" s="462" t="str">
        <f>_xlfn.IFNA(VLOOKUP(ROW()-9,DAWorkings!$AT:$BI,7,FALSE),"")</f>
        <v/>
      </c>
      <c r="I67" s="462" t="str">
        <f>IF(_xlfn.IFNA(VLOOKUP(ROW()-9,DAWorkings!$AT:$BI,8,FALSE),"")=0,"",_xlfn.IFNA(VLOOKUP(ROW()-9,DAWorkings!$AT:$BI,8,FALSE),""))</f>
        <v/>
      </c>
      <c r="J67" s="462" t="str">
        <f>IF(_xlfn.IFNA(VLOOKUP(ROW()-9,DAWorkings!$AT:$BI,12,FALSE),"")=0,"",_xlfn.IFNA(VLOOKUP(ROW()-9,DAWorkings!$AT:$BI,12,FALSE),""))</f>
        <v/>
      </c>
      <c r="K67" s="462" t="str">
        <f>IF(_xlfn.IFNA(VLOOKUP(ROW()-9,DAWorkings!$AT:$BI,13,FALSE),"")=0,"",_xlfn.IFNA(VLOOKUP(ROW()-9,DAWorkings!$AT:$BI,13,FALSE),""))</f>
        <v/>
      </c>
      <c r="L67" s="462" t="str">
        <f>IF(_xlfn.IFNA(VLOOKUP(ROW()-9,DAWorkings!$AT:$BI,10,FALSE),"")=0,"",_xlfn.IFNA(VLOOKUP(ROW()-9,DAWorkings!$AT:$BI,10,FALSE),""))</f>
        <v/>
      </c>
      <c r="M67" s="462" t="str">
        <f>IF(_xlfn.IFNA(VLOOKUP(ROW()-9,DAWorkings!$AT:$BI,10,FALSE),"")=0,"",_xlfn.IFNA(VLOOKUP(ROW()-9,DAWorkings!$AT:$BI,14,FALSE),""))</f>
        <v/>
      </c>
      <c r="N67" s="462" t="str">
        <f>_xlfn.IFNA(INDEX('Retention Schedule'!K:N,MATCH(VLOOKUP(ROW()-9,DAWorkings!$AT:$BI,11,FALSE),'Retention Schedule'!N:N,0),1),"")</f>
        <v/>
      </c>
      <c r="O67" s="462" t="str">
        <f>_xlfn.IFNA(VLOOKUP(ROW()-9,DAWorkings!$AT:$BI,15,FALSE),"")&amp;_xlfn.IFNA(IF(AND(VLOOKUP(ROW()-9,DAWorkings!$AT:$BJ,17,FALSE)="Yes(2)",VLOOKUP(ROW()-9,DAWorkings!$AT:$BI,15,FALSE)="Yes(1)")," &amp; ",""),"")&amp;IF(_xlfn.IFNA(VLOOKUP(ROW()-9,DAWorkings!$AT:$BJ,17,FALSE),"")=0,"",_xlfn.IFNA(VLOOKUP(ROW()-9,DAWorkings!$AT:$BJ,17,FALSE),""))</f>
        <v/>
      </c>
      <c r="P67" s="291" t="str">
        <f>IF(_xlfn.IFNA(VLOOKUP(ROW()-9,DAWorkings!$AT:$BI,10,FALSE),"")=0,"",_xlfn.IFNA(VLOOKUP(ROW()-9,DAWorkings!$AT:$BI,16,FALSE),""))</f>
        <v/>
      </c>
    </row>
    <row r="68" spans="1:16">
      <c r="A68" s="34"/>
      <c r="B68" s="462" t="str">
        <f>IF(_xlfn.IFNA(VLOOKUP(ROW()-9,DAWorkings!$AT:$BI,2,FALSE),"")=0,"",_xlfn.IFNA(VLOOKUP(ROW()-9,DAWorkings!$AT:$BI,2,FALSE),""))</f>
        <v/>
      </c>
      <c r="C68" s="462" t="str">
        <f>_xlfn.IFNA(VLOOKUP(ROW()-9,DAWorkings!$AT:$BI,5,FALSE),"")</f>
        <v/>
      </c>
      <c r="D68" s="462" t="str">
        <f>_xlfn.IFNA(VLOOKUP(ROW()-9,DAWorkings!$AT:$BI,6,FALSE),"")</f>
        <v/>
      </c>
      <c r="E68" s="462" t="str">
        <f>_xlfn.IFNA(VLOOKUP(ROW()-9,DAWorkings!$AT:$BI,3,FALSE),"")</f>
        <v/>
      </c>
      <c r="F68" s="462" t="str">
        <f>_xlfn.IFNA(VLOOKUP((VLOOKUP(ROW()-9,DAWorkings!$AT:$BI,4,FALSE)),DAWorkings!$AU$3:$AV$6,2,FALSE),"")</f>
        <v/>
      </c>
      <c r="G68" s="462" t="str">
        <f>_xlfn.IFNA(VLOOKUP(ROW()-9,DAWorkings!$AT:$BI,9,FALSE),"")</f>
        <v/>
      </c>
      <c r="H68" s="462" t="str">
        <f>_xlfn.IFNA(VLOOKUP(ROW()-9,DAWorkings!$AT:$BI,7,FALSE),"")</f>
        <v/>
      </c>
      <c r="I68" s="462" t="str">
        <f>IF(_xlfn.IFNA(VLOOKUP(ROW()-9,DAWorkings!$AT:$BI,8,FALSE),"")=0,"",_xlfn.IFNA(VLOOKUP(ROW()-9,DAWorkings!$AT:$BI,8,FALSE),""))</f>
        <v/>
      </c>
      <c r="J68" s="462" t="str">
        <f>IF(_xlfn.IFNA(VLOOKUP(ROW()-9,DAWorkings!$AT:$BI,12,FALSE),"")=0,"",_xlfn.IFNA(VLOOKUP(ROW()-9,DAWorkings!$AT:$BI,12,FALSE),""))</f>
        <v/>
      </c>
      <c r="K68" s="462" t="str">
        <f>IF(_xlfn.IFNA(VLOOKUP(ROW()-9,DAWorkings!$AT:$BI,13,FALSE),"")=0,"",_xlfn.IFNA(VLOOKUP(ROW()-9,DAWorkings!$AT:$BI,13,FALSE),""))</f>
        <v/>
      </c>
      <c r="L68" s="462" t="str">
        <f>IF(_xlfn.IFNA(VLOOKUP(ROW()-9,DAWorkings!$AT:$BI,10,FALSE),"")=0,"",_xlfn.IFNA(VLOOKUP(ROW()-9,DAWorkings!$AT:$BI,10,FALSE),""))</f>
        <v/>
      </c>
      <c r="M68" s="462" t="str">
        <f>IF(_xlfn.IFNA(VLOOKUP(ROW()-9,DAWorkings!$AT:$BI,10,FALSE),"")=0,"",_xlfn.IFNA(VLOOKUP(ROW()-9,DAWorkings!$AT:$BI,14,FALSE),""))</f>
        <v/>
      </c>
      <c r="N68" s="462" t="str">
        <f>_xlfn.IFNA(INDEX('Retention Schedule'!K:N,MATCH(VLOOKUP(ROW()-9,DAWorkings!$AT:$BI,11,FALSE),'Retention Schedule'!N:N,0),1),"")</f>
        <v/>
      </c>
      <c r="O68" s="462" t="str">
        <f>_xlfn.IFNA(VLOOKUP(ROW()-9,DAWorkings!$AT:$BI,15,FALSE),"")&amp;_xlfn.IFNA(IF(AND(VLOOKUP(ROW()-9,DAWorkings!$AT:$BJ,17,FALSE)="Yes(2)",VLOOKUP(ROW()-9,DAWorkings!$AT:$BI,15,FALSE)="Yes(1)")," &amp; ",""),"")&amp;IF(_xlfn.IFNA(VLOOKUP(ROW()-9,DAWorkings!$AT:$BJ,17,FALSE),"")=0,"",_xlfn.IFNA(VLOOKUP(ROW()-9,DAWorkings!$AT:$BJ,17,FALSE),""))</f>
        <v/>
      </c>
      <c r="P68" s="291" t="str">
        <f>IF(_xlfn.IFNA(VLOOKUP(ROW()-9,DAWorkings!$AT:$BI,10,FALSE),"")=0,"",_xlfn.IFNA(VLOOKUP(ROW()-9,DAWorkings!$AT:$BI,16,FALSE),""))</f>
        <v/>
      </c>
    </row>
    <row r="69" spans="1:16" ht="15.75" thickBot="1">
      <c r="A69" s="37"/>
      <c r="B69" s="292" t="str">
        <f>IF(_xlfn.IFNA(VLOOKUP(ROW()-9,DAWorkings!$AT:$BI,2,FALSE),"")=0,"",_xlfn.IFNA(VLOOKUP(ROW()-9,DAWorkings!$AT:$BI,2,FALSE),""))</f>
        <v/>
      </c>
      <c r="C69" s="292" t="str">
        <f>_xlfn.IFNA(VLOOKUP(ROW()-9,DAWorkings!$AT:$BI,5,FALSE),"")</f>
        <v/>
      </c>
      <c r="D69" s="292" t="str">
        <f>_xlfn.IFNA(VLOOKUP(ROW()-9,DAWorkings!$AT:$BI,6,FALSE),"")</f>
        <v/>
      </c>
      <c r="E69" s="292" t="str">
        <f>_xlfn.IFNA(VLOOKUP(ROW()-9,DAWorkings!$AT:$BI,3,FALSE),"")</f>
        <v/>
      </c>
      <c r="F69" s="292" t="str">
        <f>_xlfn.IFNA(VLOOKUP((VLOOKUP(ROW()-9,DAWorkings!$AT:$BI,4,FALSE)),DAWorkings!$AU$3:$AV$6,2,FALSE),"")</f>
        <v/>
      </c>
      <c r="G69" s="292" t="str">
        <f>_xlfn.IFNA(VLOOKUP(ROW()-9,DAWorkings!$AT:$BI,9,FALSE),"")</f>
        <v/>
      </c>
      <c r="H69" s="292" t="str">
        <f>_xlfn.IFNA(VLOOKUP(ROW()-9,DAWorkings!$AT:$BI,7,FALSE),"")</f>
        <v/>
      </c>
      <c r="I69" s="292" t="str">
        <f>IF(_xlfn.IFNA(VLOOKUP(ROW()-9,DAWorkings!$AT:$BI,8,FALSE),"")=0,"",_xlfn.IFNA(VLOOKUP(ROW()-9,DAWorkings!$AT:$BI,8,FALSE),""))</f>
        <v/>
      </c>
      <c r="J69" s="292" t="str">
        <f>IF(_xlfn.IFNA(VLOOKUP(ROW()-9,DAWorkings!$AT:$BI,12,FALSE),"")=0,"",_xlfn.IFNA(VLOOKUP(ROW()-9,DAWorkings!$AT:$BI,12,FALSE),""))</f>
        <v/>
      </c>
      <c r="K69" s="292" t="str">
        <f>IF(_xlfn.IFNA(VLOOKUP(ROW()-9,DAWorkings!$AT:$BI,13,FALSE),"")=0,"",_xlfn.IFNA(VLOOKUP(ROW()-9,DAWorkings!$AT:$BI,13,FALSE),""))</f>
        <v/>
      </c>
      <c r="L69" s="292" t="str">
        <f>IF(_xlfn.IFNA(VLOOKUP(ROW()-9,DAWorkings!$AT:$BI,10,FALSE),"")=0,"",_xlfn.IFNA(VLOOKUP(ROW()-9,DAWorkings!$AT:$BI,10,FALSE),""))</f>
        <v/>
      </c>
      <c r="M69" s="292" t="str">
        <f>IF(_xlfn.IFNA(VLOOKUP(ROW()-9,DAWorkings!$AT:$BI,10,FALSE),"")=0,"",_xlfn.IFNA(VLOOKUP(ROW()-9,DAWorkings!$AT:$BI,14,FALSE),""))</f>
        <v/>
      </c>
      <c r="N69" s="292" t="str">
        <f>_xlfn.IFNA(INDEX('Retention Schedule'!K:N,MATCH(VLOOKUP(ROW()-9,DAWorkings!$AT:$BI,11,FALSE),'Retention Schedule'!N:N,0),1),"")</f>
        <v/>
      </c>
      <c r="O69" s="292" t="str">
        <f>_xlfn.IFNA(VLOOKUP(ROW()-9,DAWorkings!$AT:$BI,15,FALSE),"")&amp;_xlfn.IFNA(IF(AND(VLOOKUP(ROW()-9,DAWorkings!$AT:$BJ,17,FALSE)="Yes(2)",VLOOKUP(ROW()-9,DAWorkings!$AT:$BI,15,FALSE)="Yes(1)")," &amp; ",""),"")&amp;IF(_xlfn.IFNA(VLOOKUP(ROW()-9,DAWorkings!$AT:$BJ,17,FALSE),"")=0,"",_xlfn.IFNA(VLOOKUP(ROW()-9,DAWorkings!$AT:$BJ,17,FALSE),""))</f>
        <v/>
      </c>
      <c r="P69" s="293" t="str">
        <f>IF(_xlfn.IFNA(VLOOKUP(ROW()-9,DAWorkings!$AT:$BI,10,FALSE),"")=0,"",_xlfn.IFNA(VLOOKUP(ROW()-9,DAWorkings!$AT:$BI,16,FALSE),""))</f>
        <v/>
      </c>
    </row>
  </sheetData>
  <mergeCells count="2">
    <mergeCell ref="B5:C5"/>
    <mergeCell ref="B6:L7"/>
  </mergeCells>
  <conditionalFormatting sqref="A5">
    <cfRule type="expression" dxfId="3" priority="1">
      <formula>$H$34="No"</formula>
    </cfRule>
  </conditionalFormatting>
  <conditionalFormatting sqref="B10:P69">
    <cfRule type="expression" dxfId="0" priority="69">
      <formula>$O10&lt;&gt;""</formula>
    </cfRule>
  </conditionalFormatting>
  <hyperlinks>
    <hyperlink ref="J9" r:id="rId1" display="Article 6   ü" xr:uid="{B28347AB-544C-4081-A8BB-37B9917F5A0D}"/>
    <hyperlink ref="K9" r:id="rId2" display="Article 9   ü" xr:uid="{1C6630AE-0F33-4804-A245-6310AC6CBE1F}"/>
    <hyperlink ref="A5" r:id="rId3" xr:uid="{BD871E90-92B5-4BDF-9E5D-D4270B4D0A42}"/>
  </hyperlinks>
  <pageMargins left="0.7" right="0.7" top="0.75" bottom="0.75" header="0.3" footer="0.3"/>
  <pageSetup paperSize="9" orientation="portrait"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Cover Page</vt:lpstr>
      <vt:lpstr>Privacy Essentials Introduction</vt:lpstr>
      <vt:lpstr>D - Data Collection</vt:lpstr>
      <vt:lpstr>W - Worfklow</vt:lpstr>
      <vt:lpstr>DAWorkings</vt:lpstr>
      <vt:lpstr>P - Policy &amp; Procedures</vt:lpstr>
      <vt:lpstr>Appropriate Policy Documentt</vt:lpstr>
      <vt:lpstr>Recommendations</vt:lpstr>
      <vt:lpstr>Data Risk Register</vt:lpstr>
      <vt:lpstr>Retention Schedule</vt:lpstr>
      <vt:lpstr>DPIA</vt:lpstr>
      <vt:lpstr>Limitations and Improvements</vt:lpstr>
      <vt:lpstr>Application</vt:lpstr>
      <vt:lpstr>Country_storage</vt:lpstr>
      <vt:lpstr>Data_Capture</vt:lpstr>
      <vt:lpstr>Data_Classification</vt:lpstr>
      <vt:lpstr>Data_Store</vt:lpstr>
      <vt:lpstr>Security</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Taylor</dc:creator>
  <cp:keywords>Copyright - Cedars (2019) Ltd</cp:keywords>
  <cp:lastModifiedBy>James Taylor</cp:lastModifiedBy>
  <dcterms:created xsi:type="dcterms:W3CDTF">2023-03-02T14:43:35Z</dcterms:created>
  <dcterms:modified xsi:type="dcterms:W3CDTF">2023-04-27T10:21:51Z</dcterms:modified>
</cp:coreProperties>
</file>